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75" yWindow="65521" windowWidth="13440" windowHeight="10155" tabRatio="791" activeTab="0"/>
  </bookViews>
  <sheets>
    <sheet name="Kezdőlap" sheetId="1" r:id="rId1"/>
    <sheet name=" sms, e-mail értesítés I." sheetId="2" r:id="rId2"/>
    <sheet name="sms, e-mail értesítés II." sheetId="3" r:id="rId3"/>
    <sheet name="Érvényes Ügyfélkapuk száma " sheetId="4" r:id="rId4"/>
    <sheet name="Ügyfélkapuk okmányirodánként" sheetId="5" r:id="rId5"/>
    <sheet name="XR elintézett ügyek" sheetId="6" r:id="rId6"/>
    <sheet name="XR megyénként (2016)" sheetId="7" r:id="rId7"/>
  </sheets>
  <definedNames>
    <definedName name="bács">#REF!</definedName>
    <definedName name="baranya">#REF!</definedName>
    <definedName name="baz">#REF!</definedName>
    <definedName name="békés">#REF!</definedName>
    <definedName name="budapest">#REF!</definedName>
    <definedName name="cim">#REF!</definedName>
    <definedName name="csongrád">#REF!</definedName>
    <definedName name="fejér">#REF!</definedName>
    <definedName name="győr">#REF!</definedName>
    <definedName name="hajdu">#REF!</definedName>
    <definedName name="heves">#REF!</definedName>
    <definedName name="jász">#REF!</definedName>
    <definedName name="komárom">#REF!</definedName>
    <definedName name="nógrád">#REF!</definedName>
    <definedName name="_xlnm.Print_Area" localSheetId="5">'XR elintézett ügyek'!$A$1:$K$24</definedName>
    <definedName name="pest">#REF!</definedName>
    <definedName name="somogy">#REF!</definedName>
    <definedName name="szszb">#REF!</definedName>
    <definedName name="tobbi">#REF!</definedName>
    <definedName name="tolna">#REF!</definedName>
    <definedName name="vas">#REF!</definedName>
    <definedName name="veszprém">#REF!</definedName>
    <definedName name="zala">#REF!</definedName>
  </definedNames>
  <calcPr fullCalcOnLoad="1"/>
</workbook>
</file>

<file path=xl/sharedStrings.xml><?xml version="1.0" encoding="utf-8"?>
<sst xmlns="http://schemas.openxmlformats.org/spreadsheetml/2006/main" count="3096" uniqueCount="557">
  <si>
    <t>Összesen</t>
  </si>
  <si>
    <t>Békés</t>
  </si>
  <si>
    <t>Csongrád</t>
  </si>
  <si>
    <t>Heves</t>
  </si>
  <si>
    <t>Tolna</t>
  </si>
  <si>
    <t>VAS MEGYE</t>
  </si>
  <si>
    <t>Veszprém</t>
  </si>
  <si>
    <t>Január</t>
  </si>
  <si>
    <t>BÁCS - KISKUN MEGYE</t>
  </si>
  <si>
    <t>BARANYA MEGYE</t>
  </si>
  <si>
    <t>BÉKÉS MEGYE</t>
  </si>
  <si>
    <t>BORSOD - ABAÚJ- ZEMPLÉN MEGYE</t>
  </si>
  <si>
    <t>BUDAPEST FŐVÁROS</t>
  </si>
  <si>
    <t>CSONGRÁD MEGYE</t>
  </si>
  <si>
    <t>FEJÉR MEGYE</t>
  </si>
  <si>
    <t>GYŐR-MOSON-SOPRON MEGYE</t>
  </si>
  <si>
    <t>HAJDU-BIHAR MEGYE</t>
  </si>
  <si>
    <t>2011.</t>
  </si>
  <si>
    <t>HEVES MEGYE</t>
  </si>
  <si>
    <t>KOMÁROM-ESZTERGOM MEGYE</t>
  </si>
  <si>
    <t>NÓGRÁD MEGYE</t>
  </si>
  <si>
    <t>PEST MEGYE</t>
  </si>
  <si>
    <t>SOMOGY MEGYE</t>
  </si>
  <si>
    <t>SZABOLCS -SZATMÁR- BEREG MEGYE</t>
  </si>
  <si>
    <t xml:space="preserve">TOLNA MEGYE </t>
  </si>
  <si>
    <t>VESZPRÉM MEGYE</t>
  </si>
  <si>
    <t>ZALA MEGYE</t>
  </si>
  <si>
    <t>JÁSZ-NAGYKUN- SZOLNOK MEGYE</t>
  </si>
  <si>
    <t>Kormányhivatalok</t>
  </si>
  <si>
    <t>Összesen:</t>
  </si>
  <si>
    <t>Nemzeti Adó -és Vámhivatal (NAV)</t>
  </si>
  <si>
    <t>Közép-magyarországi Regionális Adó Főigazgatóság</t>
  </si>
  <si>
    <t>Észak-magyarországi Regionális Adó Főigazgatóság</t>
  </si>
  <si>
    <t>Észak-alföldi Regionális Adó Főigazgatóság</t>
  </si>
  <si>
    <t>Dél-alföldi Regionális Adó Főigazgatóság</t>
  </si>
  <si>
    <t>Dél-dunántúli Regionális Adó Főigazgatóság</t>
  </si>
  <si>
    <t>Közép-dunántúli Regionális Adó Főigazgatóság</t>
  </si>
  <si>
    <t>Nyugat-dunántúli Regionális Adó Főigazgatóság</t>
  </si>
  <si>
    <t xml:space="preserve">Összesen: </t>
  </si>
  <si>
    <t>Okmányirodák</t>
  </si>
  <si>
    <t>*</t>
  </si>
  <si>
    <t>Az Internetes Közigazgatási Szolgáltató Rendszer (XR) adatai</t>
  </si>
  <si>
    <t>Ügytípusonként elintézett ügyek száma</t>
  </si>
  <si>
    <t>Ügytípus</t>
  </si>
  <si>
    <t>Elintézett ügyek száma</t>
  </si>
  <si>
    <t>2003.10.30 - 2010.12.31.</t>
  </si>
  <si>
    <t>2011. összesen</t>
  </si>
  <si>
    <t>Anyakönyv</t>
  </si>
  <si>
    <t>Egyéni vállalkozás</t>
  </si>
  <si>
    <t>Járműigazgatás</t>
  </si>
  <si>
    <t>Lakcímigazolvány</t>
  </si>
  <si>
    <t>Személyazonosító igazolvány</t>
  </si>
  <si>
    <t>Útlevél</t>
  </si>
  <si>
    <t>Mozgásban korlátozottak parkolási igazolványa</t>
  </si>
  <si>
    <t>Személyiadat- és lakcímnyilvántartás</t>
  </si>
  <si>
    <t>Vezetői engedély</t>
  </si>
  <si>
    <t>Ügyfélkapu</t>
  </si>
  <si>
    <t>Adatszolgáltatás letiltása és annak visszavonása</t>
  </si>
  <si>
    <t xml:space="preserve">Ügytípusonként időpontfoglalások száma </t>
  </si>
  <si>
    <t>Időpontfoglalás ügyindítás nélkül</t>
  </si>
  <si>
    <t>Ügytípusonként az elintézett ügyek és időpontfoglalások száma</t>
  </si>
  <si>
    <t>Az elkészült személyi okmányokról szóló elektronikus értesítések</t>
  </si>
  <si>
    <t>Az elkészült személyi okmányokról szóló értesítések típus szerinti megoszlásban</t>
  </si>
  <si>
    <t>Az elkészült személyi okmányokról szóló értesítések átvétel helye szerinti megoszlásban</t>
  </si>
  <si>
    <t>Ügyfél tevékenységek megyénként összesítve</t>
  </si>
  <si>
    <t>Megyék</t>
  </si>
  <si>
    <t xml:space="preserve">Ügyindítások </t>
  </si>
  <si>
    <t>Időpontfoglalások</t>
  </si>
  <si>
    <t>Sikeres</t>
  </si>
  <si>
    <t>Ügyindítással</t>
  </si>
  <si>
    <t>Ügyindítás nélkül</t>
  </si>
  <si>
    <t xml:space="preserve">Bács-Kiskun </t>
  </si>
  <si>
    <t>Baranya</t>
  </si>
  <si>
    <t>Borsod-Abaúj-Zemplén</t>
  </si>
  <si>
    <t>Budapest</t>
  </si>
  <si>
    <t>Fejér</t>
  </si>
  <si>
    <t>Győr-Moson-Sopron</t>
  </si>
  <si>
    <t>Hajdú-Bihar</t>
  </si>
  <si>
    <t>Jász-Nagykun-Szolnok</t>
  </si>
  <si>
    <t>Komárom-Esztergom</t>
  </si>
  <si>
    <t>Nógrád</t>
  </si>
  <si>
    <t>Pest</t>
  </si>
  <si>
    <t>Somogy</t>
  </si>
  <si>
    <t>Szabolcs-Szatmár-Bereg</t>
  </si>
  <si>
    <t>Vas</t>
  </si>
  <si>
    <t>Zala</t>
  </si>
  <si>
    <t>Ügyfél tevékenységek</t>
  </si>
  <si>
    <t>BORSOD - ABAÚJ - ZEMPLÉN MEGYE</t>
  </si>
  <si>
    <t>GYŐR - MOSON - SOPRON MEGYE</t>
  </si>
  <si>
    <t>HAJDÚ - BIHAR MEGYE</t>
  </si>
  <si>
    <t>JÁSZ - NAGYKUN - SZOLNOK MEGYE</t>
  </si>
  <si>
    <t>KOMÁROM - ESZTERGOM MEGYE</t>
  </si>
  <si>
    <t>SZABOLCS - SZATMÁR - BEREG MEGYE</t>
  </si>
  <si>
    <t>TOLNA MEGYE</t>
  </si>
  <si>
    <t>január</t>
  </si>
  <si>
    <t>e-mail értesítések</t>
  </si>
  <si>
    <t>sms értesítések</t>
  </si>
  <si>
    <t>sms /e-mail értesítések</t>
  </si>
  <si>
    <t>Összes értesítések száma</t>
  </si>
  <si>
    <t>Okmányirodában átvehető</t>
  </si>
  <si>
    <t>Kézbesítés postai úton</t>
  </si>
  <si>
    <t>Megye / Főváros</t>
  </si>
  <si>
    <t xml:space="preserve">Adatok az Internetes Közigazgatási Szolgáltató Rendszerből (rövidítve: XR) </t>
  </si>
  <si>
    <t>*  Személyi okmányok: személyazonosító igazolvány, útlevél</t>
  </si>
  <si>
    <t>2012. összesen</t>
  </si>
  <si>
    <t xml:space="preserve"> </t>
  </si>
  <si>
    <t>Érvényes jelszóval rendelkező ügyfélkapuk száma</t>
  </si>
  <si>
    <t>Adatok az érvényes jelszóval rendelkező ügyfélkapuk számáról</t>
  </si>
  <si>
    <t>Érvényes jelszóval rendelkező ügyfélkapuk száma a Nemzeti Adó- és Vámhivatalnál (NAV)</t>
  </si>
  <si>
    <t>Érvényes jelszóval rendelkező Ügyfélkapuk száma Okmányirodánként</t>
  </si>
  <si>
    <t xml:space="preserve">Ügyfélkapuk száma </t>
  </si>
  <si>
    <t xml:space="preserve">Kormányhivatalok** </t>
  </si>
  <si>
    <t>***NAV kirendeltségeken 2009.11.10-étől történik regisztráció</t>
  </si>
  <si>
    <t>Bácsalmási Járási Hivatal (BÁCSALMÁS)</t>
  </si>
  <si>
    <t>Bajai Járási Hivatal (BAJA)</t>
  </si>
  <si>
    <t>Jánoshalmai Járási Hivatal (JÁNOSHALMA)</t>
  </si>
  <si>
    <t>Kalocsai Járási Hivatal (KALOCSA)</t>
  </si>
  <si>
    <t>Kalocsai Járási Hivatal (SOLT)</t>
  </si>
  <si>
    <t>Kecskeméti Járási Hivatal (KECSKEMÉT)</t>
  </si>
  <si>
    <t>Kecskeméti Járási Hivatal (KEREKEGYHÁZA)</t>
  </si>
  <si>
    <t>Kecskeméti Járási Hivatal (LAJOSMIZSE)</t>
  </si>
  <si>
    <t>Kiskőrösi Járási Hivatal (IZSÁK)</t>
  </si>
  <si>
    <t>Kiskőrösi Járási Hivatal (KECEL)</t>
  </si>
  <si>
    <t>Kiskőrösi Járási Hivatal (KISKŐRÖS)</t>
  </si>
  <si>
    <t>Kiskőrösi Járási Hivatal (SOLTVADKERT)</t>
  </si>
  <si>
    <t>Kiskunfélegyházi Járási Hivatal (KISKUNFÉLEGYHÁZA)</t>
  </si>
  <si>
    <t>Kiskunhalasi Járási Hivatal (KISKUNHALAS)</t>
  </si>
  <si>
    <t>Kiskunmajsai Járási Hivatala (KISKUNMAJSA)</t>
  </si>
  <si>
    <t>Kunszentmiklósi Járási Hivatal (KUNSZENTMIKLÓS)</t>
  </si>
  <si>
    <t>Kunszentmiklósi Járási Hivatal (SZABADSZÁLLÁS)</t>
  </si>
  <si>
    <t>Tiszakécskei Járási Hivatal (TISZAKÉCSKE)</t>
  </si>
  <si>
    <t>Bólyi Járási Hivatal (BÓLY)</t>
  </si>
  <si>
    <t>Hegyháti Járási Hivatal (SÁSD)</t>
  </si>
  <si>
    <t>Komlói Járási Hivatal (KOMLÓ)</t>
  </si>
  <si>
    <t>Mohácsi Járási Hivatal (MOHÁCS)</t>
  </si>
  <si>
    <t>Pécsi Járási Hivatal (PÉCS)</t>
  </si>
  <si>
    <t>Pécsváradi Járási Hivatal (PÉCSVÁRAD)</t>
  </si>
  <si>
    <t>Sellyei Járási Hivatal (SELLYE)</t>
  </si>
  <si>
    <t>Siklósi Járási Hivatal (HARKÁNY)</t>
  </si>
  <si>
    <t>Siklósi Járási Hivatal (SIKLÓS)</t>
  </si>
  <si>
    <t>Siklósi Járási Hivatal (VILLÁNY)</t>
  </si>
  <si>
    <t>Szentlőrinci Járási Hivatal (SZENTLŐRINC)</t>
  </si>
  <si>
    <t>Szigetvári Járási Hivatal (SZIGETVÁR)</t>
  </si>
  <si>
    <t>Békéscsabai Járási Hivatal (BÉKÉSCSABA)</t>
  </si>
  <si>
    <t>Békési Járási Hivatal (BÉKÉS)</t>
  </si>
  <si>
    <t>Békési Járási Hivatal (MEZŐBERÉNY)</t>
  </si>
  <si>
    <t>Gyomaendrődi Járási Hivatal (DÉVAVÁNYA)</t>
  </si>
  <si>
    <t>Gyomaendrődi Járási Hivatal (GYOMAENDRŐD)</t>
  </si>
  <si>
    <t>Gyulai Járási Hivatal (ELEK)</t>
  </si>
  <si>
    <t>Gyulai Járási Hivatal (GYULA)</t>
  </si>
  <si>
    <t>Mezőkovácsházai Járási Hivatal (BATTONYA)</t>
  </si>
  <si>
    <t>Mezőkovácsházai Járási Hivatal (MEZŐHEGYES)</t>
  </si>
  <si>
    <t>Mezőkovácsházai Járási Hivatal (MEZŐKOVÁCSHÁZA)</t>
  </si>
  <si>
    <t>Orosházi Járási Hivatal (OROSHÁZA)</t>
  </si>
  <si>
    <t>Orosházi Járási Hivatal (TÓTKOMLÓS)</t>
  </si>
  <si>
    <t>Sarkadi Járási Hivatal (SARKAD)</t>
  </si>
  <si>
    <t>Szarvasi Járási Hivatal (SZARVAS)</t>
  </si>
  <si>
    <t>Szeghalmi Járási Hivatal (FÜZESGYARMAT)</t>
  </si>
  <si>
    <t>Szeghalmi Járási Hivatal (SZEGHALOM)</t>
  </si>
  <si>
    <t>Szeghalmi Járási Hivatal (VÉSZTŐ)</t>
  </si>
  <si>
    <t>Cigándi Járási Hivatal (CIGÁND)</t>
  </si>
  <si>
    <t>Edelényi Járási Hivatal (EDELÉNY)</t>
  </si>
  <si>
    <t>Edelényi Járási Hivatal (SZENDRŐ)</t>
  </si>
  <si>
    <t>Encsi Járási Hivatal (ENCS)</t>
  </si>
  <si>
    <t>Gönci Járási Hivatal (GÖNC)</t>
  </si>
  <si>
    <t>Kazincbarcikai Járási Hivatal (KAZINCBARCIKA)</t>
  </si>
  <si>
    <t>Kazincbarcikai Járási Hivatal (SAJÓSZENTPÉTER)</t>
  </si>
  <si>
    <t>Mezőcsáti Járási Hivatal (MEZŐCSÁT)</t>
  </si>
  <si>
    <t>Mezőkövesdi Járási Hivatal (MEZŐKÖVESD)</t>
  </si>
  <si>
    <t>Miskolci Járási Hivatal (EMŐD)</t>
  </si>
  <si>
    <t>Miskolci Járási Hivatal (FELSŐZSOLCA)</t>
  </si>
  <si>
    <t>Miskolci Járási Hivatal (MISKOLC)</t>
  </si>
  <si>
    <t>Ózdi Járási Hivatal (BORSODNÁDASD)</t>
  </si>
  <si>
    <t>Ózdi Járási Hivatal (ÓZD)</t>
  </si>
  <si>
    <t>Putnoki Járási Hivatal (PUTNOK)</t>
  </si>
  <si>
    <t>Sárospataki Járási Hivatal (SÁROSPATAK)</t>
  </si>
  <si>
    <t>Sátoraljaújhelyi Járási Hivatal (SÁTORALJAÚJHELY)</t>
  </si>
  <si>
    <t>Szerencsi Járási Hivatal (SZERENCS)</t>
  </si>
  <si>
    <t>Szikszói Járási Hivatal (SZIKSZÓ)</t>
  </si>
  <si>
    <t>Tiszaújvárosi Járási Hivatal (TISZAÚJVÁROS)</t>
  </si>
  <si>
    <t>Tokaji Járási Hivatal (TOKAJ)</t>
  </si>
  <si>
    <t>Budapest I. Kerületi Hivatal</t>
  </si>
  <si>
    <t>Budapest II. Kerületi Hivatal</t>
  </si>
  <si>
    <t>Budapest III. Kerületi Hivatal</t>
  </si>
  <si>
    <t>Budapest IV. Kerületi Hivatal</t>
  </si>
  <si>
    <t>Budapest IX. Kerületi Hivatal</t>
  </si>
  <si>
    <t>Budapest V. Kerületi Hivatal</t>
  </si>
  <si>
    <t>Budapest VI. Kerületi Hivatal</t>
  </si>
  <si>
    <t>Budapest VII. Kerületi Hivatal</t>
  </si>
  <si>
    <t>Budapest VIII. Kerületi Hivatal</t>
  </si>
  <si>
    <t>Budapest X. Kerületi Hivatal</t>
  </si>
  <si>
    <t>Budapest XI. Kerületi Hivatal</t>
  </si>
  <si>
    <t>Budapest XII. Kerületi Hivatal</t>
  </si>
  <si>
    <t>Budapest XIII. Kerületi Hivatal</t>
  </si>
  <si>
    <t>Budapest XIV. Kerületi Hivatal</t>
  </si>
  <si>
    <t>Budapest XIX. Kerületi Hivatal</t>
  </si>
  <si>
    <t>Budapest XV. Kerületi Hivatal</t>
  </si>
  <si>
    <t>Budapest XVI. Kerületi Hivatal</t>
  </si>
  <si>
    <t>Budapest XVII. Kerületi Hivatal</t>
  </si>
  <si>
    <t>Budapest XVIII. Kerületi Hivatal</t>
  </si>
  <si>
    <t>Budapest XX. Kerületi Hivatal</t>
  </si>
  <si>
    <t>Budapest XXI. Kerületi Hivatal</t>
  </si>
  <si>
    <t>Budapest XXII. Kerületi Hivatal</t>
  </si>
  <si>
    <t>Budapest XXIII. Kerületi Hivatal</t>
  </si>
  <si>
    <t>KEKKH (Visegrádi utca)</t>
  </si>
  <si>
    <t>Csongrádi Járási Hivatal (CSONGRÁD)</t>
  </si>
  <si>
    <t>Hódmezővásárhelyi Járási Hivatal (HÓDMEZŐVÁSÁRHELY)</t>
  </si>
  <si>
    <t>Hódmezővásárhelyi Járási Hivatal (MINDSZENT)</t>
  </si>
  <si>
    <t>Kisteleki Járási Hivatal (KISTELEK)</t>
  </si>
  <si>
    <t>Makói Járási Hivatal (MAKÓ)</t>
  </si>
  <si>
    <t>Mórahalmi Járási Hivatal (MÓRAHALOM)</t>
  </si>
  <si>
    <t>Szegedi Járási Hivatal (SZEGED)</t>
  </si>
  <si>
    <t>Szentesi Járási Hivatal (SZENTES)</t>
  </si>
  <si>
    <t>Bicskei Járási Hivatal (BICSKE)</t>
  </si>
  <si>
    <t>Dunaújvárosi Járási Hivatal (ADONY)</t>
  </si>
  <si>
    <t>Dunaújvárosi Járási Hivatal (DUNAÚJVÁROS)</t>
  </si>
  <si>
    <t>Enyingi Járási Hivatal (ENYING)</t>
  </si>
  <si>
    <t>Gárdonyi Járási Hivatal (GÁRDONY)</t>
  </si>
  <si>
    <t>Martonvásári Járási Hivatal (ERCSI)</t>
  </si>
  <si>
    <t>Móri Járási Hivatal (MÓR)</t>
  </si>
  <si>
    <t>Polgárdi Járási Hivatal (POLGÁRDI)</t>
  </si>
  <si>
    <t>Sárbogárdi Járási Hivatal (SÁRBOGÁRD)</t>
  </si>
  <si>
    <t>Székesfehérvári Járási Hivatal (ABA)</t>
  </si>
  <si>
    <t>Székesfehérvári Járási Hivatal (SZÉKESFEHÉRVÁR)</t>
  </si>
  <si>
    <t>Csornai Járási Hivatal (CSORNA)</t>
  </si>
  <si>
    <t>Győri Járási Hivatal (GYŐR)</t>
  </si>
  <si>
    <t>Kapuvári Járási Hivatal (KAPUVÁR)</t>
  </si>
  <si>
    <t>Mosonmagyaróvári Járási Hivatal (MOSONMAGYARÓVÁR)</t>
  </si>
  <si>
    <t>Pannonhalmi Járási Hivatal (PANNONHALMA)</t>
  </si>
  <si>
    <t>Soproni Járási Hivatal (FERTŐD)</t>
  </si>
  <si>
    <t>Soproni Járási Hivatal (SOPRON)</t>
  </si>
  <si>
    <t>Téti Járási Hivatal (TÉT)</t>
  </si>
  <si>
    <t>Balmazújvárosi Járási Hivatal (BALMAZÚJVÁROS)</t>
  </si>
  <si>
    <t>Balmazújvárosi Járási Hivatal (TISZACSEGE)</t>
  </si>
  <si>
    <t>Berettyóújfalui Járási Hivatal (BERETTYÓÚJFALU)</t>
  </si>
  <si>
    <t>Berettyóújfalui Járási Hivatal (BIHARKERESZTES)</t>
  </si>
  <si>
    <t>Berettyóújfalui Járási Hivatal (KOMÁDI)</t>
  </si>
  <si>
    <t>Debreceni Járási Hivatal (DEBRECEN)</t>
  </si>
  <si>
    <t>Derecskei Járási Hivatal (DERECSKE)</t>
  </si>
  <si>
    <t>Derecskei Járási Hivatal (LÉTAVÉRTES)</t>
  </si>
  <si>
    <t>Hajdúböszörményi Járási Hivatal (HAJDÚBÖSZÖRMÉNY)</t>
  </si>
  <si>
    <t>Hajdúböszörményi Járási Hivatal (HAJDÚDOROG)</t>
  </si>
  <si>
    <t>Hajdúhadházi Járási Hivatal (HAJDÚHADHÁZ)</t>
  </si>
  <si>
    <t>Hajdúhadházi Járási Hivatal (TÉGLÁS)</t>
  </si>
  <si>
    <t>Hajdúnánási Járási Hivatal (HAJDÚNÁNÁS)</t>
  </si>
  <si>
    <t>Hajdúnánási Járási Hivatal (POLGÁR)</t>
  </si>
  <si>
    <t>Hajdúszoboszlói Járási Hivatal (HAJDÚSZOBOSZLÓ)</t>
  </si>
  <si>
    <t>Hajdúszoboszlói Járási Hivatal (NÁDUDVAR)</t>
  </si>
  <si>
    <t>Nyíradonyi Járási Hivatal (NYÍRADONY)</t>
  </si>
  <si>
    <t>Nyíradonyi Járási Hivatal (VÁMOSPÉRCS)</t>
  </si>
  <si>
    <t>Püspökladányi Járási Hivatal (PÜSPÖKLADÁNY)</t>
  </si>
  <si>
    <t>Bélapátfalvai Járási Hivatal (BÉLAPÁTFALVA)</t>
  </si>
  <si>
    <t>Egri Járási Hivatal (EGER)</t>
  </si>
  <si>
    <t>Füzesabonyi Járási Hivatal (FÜZESABONY)</t>
  </si>
  <si>
    <t>Gyöngyösi Járási Hivatal (GYÖNGYÖS)</t>
  </si>
  <si>
    <t>Hatvani Járási Hivatal (HATVAN)</t>
  </si>
  <si>
    <t>Hatvani Járási Hivatal (LŐRINCI)</t>
  </si>
  <si>
    <t>Hevesi Járási Hivatal (HEVES)</t>
  </si>
  <si>
    <t>Pétervásárai Járási Hivatal (PÉTERVÁSÁRA)</t>
  </si>
  <si>
    <t>Jászapáti Járási Hivatal (JÁSZAPÁTI)</t>
  </si>
  <si>
    <t>Jászberényi Járási Hivatal (JÁSZÁROKSZÁLLÁS)</t>
  </si>
  <si>
    <t>Jászberényi Járási Hivatal (JÁSZBERÉNY)</t>
  </si>
  <si>
    <t>Jászberényi Járási Hivatal (JÁSZFÉNYSZARU)</t>
  </si>
  <si>
    <t>Karcagi Járási Hivatal (KARCAG)</t>
  </si>
  <si>
    <t>Karcagi Járási Hivatal (KISÚJSZÁLLÁS)</t>
  </si>
  <si>
    <t>Kunhegyesi Járási Hivatal (KUNHEGYES)</t>
  </si>
  <si>
    <t>Kunszentmártoni Járási Hivatal (KUNSZENTMÁRTON)</t>
  </si>
  <si>
    <t>Kunszentmártoni Járási Hivatal (TISZAFÖLDVÁR)</t>
  </si>
  <si>
    <t>Mezőtúri Járási Hivatal (MEZŐTÚR)</t>
  </si>
  <si>
    <t>Mezőtúri Járási Hivatal (TÚRKEVE)</t>
  </si>
  <si>
    <t>Szolnoki Járási Hivatal (MARTFŰ)</t>
  </si>
  <si>
    <t>Szolnoki Járási Hivatal (SZOLNOK)</t>
  </si>
  <si>
    <t>Szolnoki Járási Hivatal (ÚJSZÁSZ)</t>
  </si>
  <si>
    <t>Tiszafüredi Járási Hivatal (TISZAFÜRED)</t>
  </si>
  <si>
    <t>Törökszentmiklósi Járási Hivatal (TÖRÖKSZENTMIKLÓS)</t>
  </si>
  <si>
    <t>Esztergomi Járási Hivatal (DOROG)</t>
  </si>
  <si>
    <t>Esztergomi Járási Hivatal (ESZTERGOM)</t>
  </si>
  <si>
    <t>Esztergomi Járási Hivatal (NYERGESÚJFALU)</t>
  </si>
  <si>
    <t>Kisbéri Járási Hivatal (KISBÉR)</t>
  </si>
  <si>
    <t>Komáromi Járási Hivatal (KOMÁROM)</t>
  </si>
  <si>
    <t>Oroszlányi Járási Hivatal (OROSZLÁNY)</t>
  </si>
  <si>
    <t>Tatabányai Járási Hivatal (TATABÁNYA)</t>
  </si>
  <si>
    <t>Tatai Járási Hivatal (TATA)</t>
  </si>
  <si>
    <t>Balassagyarmati Járási Hivatal (BALASSAGYARMAT)</t>
  </si>
  <si>
    <t>Bátonyterenyei Járási Hivatal (BÁTONYTERENYE)</t>
  </si>
  <si>
    <t>Pásztói Járási Hivatal (PÁSZTÓ)</t>
  </si>
  <si>
    <t>Rétsági Járási Hivatal (RÉTSÁG)</t>
  </si>
  <si>
    <t>Salgótarjáni Járási Hivatal (SALGÓTARJÁN)</t>
  </si>
  <si>
    <t>Szécsényi Járási Hivatal (SZÉCSÉNY)</t>
  </si>
  <si>
    <t>Aszódi Járási Hivatal (ASZÓD)</t>
  </si>
  <si>
    <t>Aszódi Járási Hivatal (TURA)</t>
  </si>
  <si>
    <t>Budakeszi Járási Hivatal (BUDAKESZI)</t>
  </si>
  <si>
    <t>Budakeszi Járási Hivatal (BUDAÖRS)</t>
  </si>
  <si>
    <t>Ceglédi Járási Hivatal (ABONY)</t>
  </si>
  <si>
    <t>Ceglédi Járási Hivatal (CEGLÉD)</t>
  </si>
  <si>
    <t>Dabasi Járási Hivatal (DABAS)</t>
  </si>
  <si>
    <t>Dunakeszi Járási Hivatal (DUNAKESZI)</t>
  </si>
  <si>
    <t>Dunakeszi Járási Hivatal (GÖD)</t>
  </si>
  <si>
    <t>Érdi Járási Hivatal (ÉRD)</t>
  </si>
  <si>
    <t>Érdi Járási Hivatal (SZÁZHALOMBATTA)</t>
  </si>
  <si>
    <t>Gödöllői Járási Hivatal (GÖDÖLLŐ)</t>
  </si>
  <si>
    <t>Gödöllői Járási Hivatal (PÉCEL)</t>
  </si>
  <si>
    <t>Gödöllői Járási Hivatal (VERESEGYHÁZ)</t>
  </si>
  <si>
    <t>Gyáli Járási Hivatal (GYÁL)</t>
  </si>
  <si>
    <t>Monori Járási Hivatal (GYÖMRŐ)</t>
  </si>
  <si>
    <t>Monori Járási Hivatal (MONOR)</t>
  </si>
  <si>
    <t>Nagykátai Járási Hivatal (NAGYKÁTA)</t>
  </si>
  <si>
    <t>Nagykőrösi Járási Hivatal (NAGYKŐRÖS)</t>
  </si>
  <si>
    <t>Pilisvörösvári Járási Hivatal (PILISVÖRÖSVÁR)</t>
  </si>
  <si>
    <t>Ráckevei Járási Hivatal (RÁCKEVE)</t>
  </si>
  <si>
    <t>Szentendrei Járási Hivatal (POMÁZ)</t>
  </si>
  <si>
    <t>Szentendrei Járási Hivatal (SZENTENDRE)</t>
  </si>
  <si>
    <t>Szentendrei Járási Hivatal (VISEGRÁD)</t>
  </si>
  <si>
    <t>Szigetszentmiklósi Járási Hivatal (DUNAHARASZTI)</t>
  </si>
  <si>
    <t>Szigetszentmiklósi Járási Hivatal (SZIGETSZENTMIKLÓS)</t>
  </si>
  <si>
    <t>Szigetszentmiklósi Járási Hivatal (TÖKÖL)</t>
  </si>
  <si>
    <t>Szobi Járási Hivatal (NAGYMAROS)</t>
  </si>
  <si>
    <t>Szobi Járási Hivatal (SZOB)</t>
  </si>
  <si>
    <t>Váci Járási Hivatal (VÁC)</t>
  </si>
  <si>
    <t>Vecsési Járási Hivatal (VECSÉS)</t>
  </si>
  <si>
    <t>Barcsi Járási Hivatal (BARCS)</t>
  </si>
  <si>
    <t>Csurgói Járási Hivatal (CSURGÓ)</t>
  </si>
  <si>
    <t>Fonyódi Járási Hivatal (BALATONBOGLÁR)</t>
  </si>
  <si>
    <t>Fonyódi Járási Hivatal (BALATONLELLE)</t>
  </si>
  <si>
    <t>Fonyódi Járási Hivatal (FONYÓD)</t>
  </si>
  <si>
    <t>Fonyódi Járási Hivatal (LENGYELTÓTI)</t>
  </si>
  <si>
    <t>Kaposvári Járási Hivatal (KAPOSVÁR)</t>
  </si>
  <si>
    <t>Kaposvári Járási Hivatal (NAGYBAJOM)</t>
  </si>
  <si>
    <t>Marcali Járási Hivatal (MARCALI)</t>
  </si>
  <si>
    <t>Nagyatádi Járási Hivatal (NAGYATÁD)</t>
  </si>
  <si>
    <t>Siófoki Járási Hivatal (BALATONFÖLDVÁR)</t>
  </si>
  <si>
    <t>Siófoki Járási Hivatal (SIÓFOK)</t>
  </si>
  <si>
    <t>Tabi Járási Hivatal (TAB)</t>
  </si>
  <si>
    <t>Baktalórántházai Járási Hivatal (BAKTALÓRÁNTHÁZA)</t>
  </si>
  <si>
    <t>Csengeri Járási Hivatal (CSENGER)</t>
  </si>
  <si>
    <t>Fehérgyarmati Járási Hivatal (FEHÉRGYARMAT)</t>
  </si>
  <si>
    <t>Ibrányi Járási Hivatal (IBRÁNY)</t>
  </si>
  <si>
    <t>Ibrányi Járási Hivatal (NAGYHALÁSZ)</t>
  </si>
  <si>
    <t>Kemecsei Járási Hivatal (DEMECSER)</t>
  </si>
  <si>
    <t>Kisvárdai Járási Hivatal (DOMBRÁD)</t>
  </si>
  <si>
    <t>Kisvárdai Járási Hivatal (KISVÁRDA)</t>
  </si>
  <si>
    <t>Mátészalkai Járási Hivatal (MÁTÉSZALKA)</t>
  </si>
  <si>
    <t>Mátészalkai Járási Hivatal (NAGYECSED)</t>
  </si>
  <si>
    <t>Nagykállói Járási Hivatal (NAGYKÁLLÓ)</t>
  </si>
  <si>
    <t>Nyírbátori Járási Hivatal (MÁRIAPÓCS)</t>
  </si>
  <si>
    <t>Nyírbátori Járási Hivatal (NYÍRBÁTOR)</t>
  </si>
  <si>
    <t>Nyíregyházi Járási Hivatal (NYÍREGYHÁZA)</t>
  </si>
  <si>
    <t>Nyíregyházi Járási Hivatal (RAKAMAZ)</t>
  </si>
  <si>
    <t>Nyíregyházi Járási Hivatal (ÚJFEHÉRTÓ)</t>
  </si>
  <si>
    <t>Tiszavasvári Járási Hivatal (TISZALÖK)</t>
  </si>
  <si>
    <t>Tiszavasvári Járási Hivatal (TISZAVASVÁRI)</t>
  </si>
  <si>
    <t>Vásárosnaményi Járási Hivatal (VÁSÁROSNAMÉNY)</t>
  </si>
  <si>
    <t>Záhonyi Járási Hivatal (ZÁHONY)</t>
  </si>
  <si>
    <t>Bonyhádi Járási Hivatal (BONYHÁD)</t>
  </si>
  <si>
    <t>Dombóvári Járási Hivatal (DOMBÓVÁR)</t>
  </si>
  <si>
    <t>Paksi Járási Hivatal (DUNAFÖLDVÁR)</t>
  </si>
  <si>
    <t>Paksi Járási Hivatal (PAKS)</t>
  </si>
  <si>
    <t>Szekszárdi Járási Hivatal (BÁTASZÉK)</t>
  </si>
  <si>
    <t>Szekszárdi Járási Hivatal (SZEKSZÁRD)</t>
  </si>
  <si>
    <t>Tamási Járási Hivatal (SIMONTORNYA)</t>
  </si>
  <si>
    <t>Tamási Járási Hivatal (TAMÁSI)</t>
  </si>
  <si>
    <t>Tolnai Járási Hivatal (TOLNA)</t>
  </si>
  <si>
    <t>Celldömölki Járási Hivatal (CELLDÖMÖLK)</t>
  </si>
  <si>
    <t>Körmendi Járási Hivatal (KÖRMEND)</t>
  </si>
  <si>
    <t>Körmendi Járási Hivatal (ŐRISZENTPÉTER)</t>
  </si>
  <si>
    <t>Kőszegi Járási Hivatal (CSEPREG)</t>
  </si>
  <si>
    <t>Kőszegi Járási Hivatal (KŐSZEG)</t>
  </si>
  <si>
    <t>Sárvári Járási Hivatal (RÉPCELAK)</t>
  </si>
  <si>
    <t>Sárvári Járási Hivatal (SÁRVÁR)</t>
  </si>
  <si>
    <t>Szentgotthárdi Járási Hivatal (SZENTGOTTHÁRD)</t>
  </si>
  <si>
    <t>Szombathelyi Járási Hivatal (SZOMBATHELY)</t>
  </si>
  <si>
    <t>Vasvári Járási Hivatal (VASVÁR)</t>
  </si>
  <si>
    <t>Ajkai Járási Hivatal (AJKA)</t>
  </si>
  <si>
    <t>Balatonalmádi Járási Hivatal (BALATONALMÁDI)</t>
  </si>
  <si>
    <t>Balatonalmádi Járási Hivatal (BALATONFŰZFŐ)</t>
  </si>
  <si>
    <t>Balatonfüredi Járási Hivatal (BALATONFÜRED)</t>
  </si>
  <si>
    <t>Devecseri Járási Hivatal (DEVECSER)</t>
  </si>
  <si>
    <t>Pápai Járási Hivatal (PÁPA)</t>
  </si>
  <si>
    <t>Sümegi Járási Hivatal (SÜMEG)</t>
  </si>
  <si>
    <t>Tapolcai Járási Hivatal (TAPOLCA)</t>
  </si>
  <si>
    <t>Várpalotai Járási Hivatal (VÁRPALOTA)</t>
  </si>
  <si>
    <t>Veszprémi Járási Hivatal (HEREND)</t>
  </si>
  <si>
    <t>Veszprémi Járási Hivatal (VESZPRÉM)</t>
  </si>
  <si>
    <t>Zirci Járási Hivatal (ZIRC)</t>
  </si>
  <si>
    <t>Keszthelyi Járási Hivatal (HÉVÍZ)</t>
  </si>
  <si>
    <t>Keszthelyi Járási Hivatal (KESZTHELY)</t>
  </si>
  <si>
    <t>Lenti Járási Hivatal (LENTI)</t>
  </si>
  <si>
    <t>Letenyei Járási Hivatal (LETENYE)</t>
  </si>
  <si>
    <t>Nagykanizsai Járási Hivatal (NAGYKANIZSA)</t>
  </si>
  <si>
    <t>Nagykanizsai Járási Hivatal (ZALAKAROS)</t>
  </si>
  <si>
    <t>Zalaegerszegi Járási Hivatal (PACSA)</t>
  </si>
  <si>
    <t>Zalaegerszegi Járási Hivatal (ZALAEGERSZEG)</t>
  </si>
  <si>
    <t>Zalaegerszegi Járási Hivatal (ZALALÖVŐ)</t>
  </si>
  <si>
    <t>Zalaszentgróti Járási Hivatal (ZALASZENTGRÓT)</t>
  </si>
  <si>
    <t xml:space="preserve">Járási Hivatal(Okmányiroda)neve </t>
  </si>
  <si>
    <t>Kerületi Hivatal neve</t>
  </si>
  <si>
    <t>2013. összesen</t>
  </si>
  <si>
    <t>Martonvásári Járási Hivatal (MARTONVÁSÁR)</t>
  </si>
  <si>
    <t>Kiskunhalasi Járási Hivatal (TOMPA)</t>
  </si>
  <si>
    <t>Kunszentmikósi Járási Hivatal (DUNAVECSE)</t>
  </si>
  <si>
    <t>Mórahalmi Járási Hivatal (ÜLLÉS)</t>
  </si>
  <si>
    <t>Szegedi Járási Hivatal (SÁNDORFALVA)</t>
  </si>
  <si>
    <t>Mosonmagyaróvári Járási Hivatal (JÁNOSSOMORJA)</t>
  </si>
  <si>
    <t>Komáromi Járási Hivatal (BÁBOLNA)</t>
  </si>
  <si>
    <t>Érdi Járási Hivatal (TÁRNOK)</t>
  </si>
  <si>
    <t>Gyáli Járási Hivatal (ÓCSA)</t>
  </si>
  <si>
    <t>Nagykállói Járási Hivatal (BALKÁNY)</t>
  </si>
  <si>
    <t>Várpalotai Járási Hivatal (BERHIDA)</t>
  </si>
  <si>
    <t>Kiskunhalasi Járási Hivatal (TOMPA)*</t>
  </si>
  <si>
    <t>*Az okmányiroda 2013.08.24-étől bekapcsolva az XR rendszerbe</t>
  </si>
  <si>
    <t>Várpalotai Járási Hivatal (BERHIDA)*</t>
  </si>
  <si>
    <t>Érdi Járási Hivatal (TÁRNOK)*</t>
  </si>
  <si>
    <t>Gyáli Járási Hivatal (ÓCSA)**</t>
  </si>
  <si>
    <t>*Az okmányiroda 2013.08.22-étől bekapcsolva az XR rendszerbe</t>
  </si>
  <si>
    <t>**Az okmányiroda 2013.08.24-étől bekapcsolva az XR rendszerbe</t>
  </si>
  <si>
    <t>*Az okmányiroda 2013.08.16-ától bekapcsolva az XR rendszerbe</t>
  </si>
  <si>
    <t>Kunszentmikósi Járási Hivatal (DUNAVECSE)**</t>
  </si>
  <si>
    <t>**Az okmányiroda 2013.09.06-átől bekapcsolva az XR rendszerbe</t>
  </si>
  <si>
    <t>Mórahalmi Járási Hivatal (ÜLLÉS)*</t>
  </si>
  <si>
    <t>Szegedi Járási Hivatal (SÁNDORFALVA)**</t>
  </si>
  <si>
    <t>*Az okmányiroda 2013.09.03-ától bekapcsolva az XR rendszerbe</t>
  </si>
  <si>
    <t>**Az okmányiroda 2013.09.11-étől bekapcsolva az XR rendszerbe</t>
  </si>
  <si>
    <t>Mosonmagyaróvári Járási Hivatal (JÁNOSSOMORJA)*</t>
  </si>
  <si>
    <t>*Az okmányiroda 2013.09.05-étől bekapcsolva az XR rendszerbe</t>
  </si>
  <si>
    <t>*Az okmányiroda 2013.09.12-étől bekapcsolva az XR rendszerbe</t>
  </si>
  <si>
    <t>Komáromi Járási Hivatal (BÁBOLNA)*</t>
  </si>
  <si>
    <t>Nagykállói Járási Hivatal (BALKÁNY)*</t>
  </si>
  <si>
    <t>*Az okmányiroda 2013.09.16-ától bekapcsolva az XR rendszerbe</t>
  </si>
  <si>
    <t>** Kormányhivatalok 2011.01. 01-től működnek</t>
  </si>
  <si>
    <t>2014. összesen</t>
  </si>
  <si>
    <t>Postai kirendeltségeken****</t>
  </si>
  <si>
    <t>**** Postai kirendeltségeken 2014.04.01-től történik regisztrácó</t>
  </si>
  <si>
    <t>2015. összesen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</si>
  <si>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</si>
  <si>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</si>
  <si>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</si>
  <si>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</si>
  <si>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</si>
  <si>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</si>
  <si>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</si>
  <si>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</si>
  <si>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</si>
  <si>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</si>
  <si>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</si>
  <si>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Gönci Járási Hivatal (ABAÚJSZÁNTÓ)</t>
  </si>
  <si>
    <t>Szentendrei Járási Hivatal (TAHITÓTFALU)</t>
  </si>
  <si>
    <t>2016. január 31-ei állapot</t>
  </si>
  <si>
    <t>február</t>
  </si>
  <si>
    <t>2016. február 29-ei állapot</t>
  </si>
  <si>
    <t>március</t>
  </si>
  <si>
    <t>****Külképviseleteken,Konzulátusokon 2016.03.01-től történik regisztráció</t>
  </si>
  <si>
    <t>2016. március 31-i állapot</t>
  </si>
  <si>
    <t>április</t>
  </si>
  <si>
    <t>2011.
december 31-i állapot</t>
  </si>
  <si>
    <t>2013.
december 31-i állapot</t>
  </si>
  <si>
    <t>2014. december 31-i állapot</t>
  </si>
  <si>
    <t>2015. december 31-i állapot</t>
  </si>
  <si>
    <t>2013. december 31-i állapot</t>
  </si>
  <si>
    <t>2008.
december 31-i állapot</t>
  </si>
  <si>
    <t>2009.
december 31-i állapot</t>
  </si>
  <si>
    <t>2006.
december 31-i állapot</t>
  </si>
  <si>
    <t>2007.
december 31-i állapot</t>
  </si>
  <si>
    <t>2010.
december 31-i állapot</t>
  </si>
  <si>
    <t>2005.
december 31-i állapot</t>
  </si>
  <si>
    <t>2012. december  31-i állapot</t>
  </si>
  <si>
    <t>2016. 
április 30-i állapot</t>
  </si>
  <si>
    <t>Érvényes jelszóval rendelkező ügyfélkapuk száma kormányhivatalonként 2016</t>
  </si>
  <si>
    <t>* 2013. márciustól a Váradi utcai kormányablak a Budafoki úton működik</t>
  </si>
  <si>
    <t xml:space="preserve">Érvényes jelszóval rendelkező ügyfélkapuk száma összesen </t>
  </si>
  <si>
    <t>május</t>
  </si>
  <si>
    <t>Az elkészült személyazonosító igazolványról szóló értesítések száma átvétel helye szerinti megoszlásban 2016</t>
  </si>
  <si>
    <t>összesen</t>
  </si>
  <si>
    <t xml:space="preserve"> Az elkészült útlevélről szóló értesítések száma átvétel helye szerinti megoszlásban 2016</t>
  </si>
  <si>
    <t>Összesítés az elkészült személyi okmányokról* szóló értesítések számáról az átvétel helye szerint 2016</t>
  </si>
  <si>
    <t xml:space="preserve"> Elkészült személyazonosító igazolványról szóló értesítések száma 2016</t>
  </si>
  <si>
    <t>Elkészült útlevélről szóló értesítések száma 2016</t>
  </si>
  <si>
    <t>Elkészült személyi okmányokról* szóló összes  értesítések száma 2016</t>
  </si>
  <si>
    <t>június</t>
  </si>
  <si>
    <t>2016. június 30-i állapot</t>
  </si>
  <si>
    <t>Székesfehérvári Járási Hivatal (POLGÁRDI)</t>
  </si>
  <si>
    <t>2016. május 31-i állapot</t>
  </si>
  <si>
    <t>Személyes Ügyfélszolgálat</t>
  </si>
  <si>
    <t>2016. július 31-i állapot</t>
  </si>
  <si>
    <t>július</t>
  </si>
  <si>
    <t>2016. augusztus 31-i állapot</t>
  </si>
  <si>
    <t>augusztus</t>
  </si>
  <si>
    <t>szeptember</t>
  </si>
  <si>
    <t>2016. szeptember 30-i állapot</t>
  </si>
  <si>
    <t>2016. október 31-i állapot</t>
  </si>
  <si>
    <t>október</t>
  </si>
  <si>
    <t>Okmányigénylések száma</t>
  </si>
  <si>
    <t>2010. december 31-i állapot</t>
  </si>
  <si>
    <t>2011. december 31-i állapot</t>
  </si>
  <si>
    <t>Külképviseletek, Konzulátusok****</t>
  </si>
  <si>
    <t>Nemzeti Adó- és Vámhivatal (NAV)***</t>
  </si>
  <si>
    <t>Bács-Kiskun megye - Kecskemét</t>
  </si>
  <si>
    <t>Békés megye - Békéscsaba</t>
  </si>
  <si>
    <t>Baranya megye - Pécs</t>
  </si>
  <si>
    <t>Borsod-Abaúj-Zemplén - Miskolc</t>
  </si>
  <si>
    <t>Budapest Főváros - Budafoki út Kormányablak*</t>
  </si>
  <si>
    <t>Budapest Főváros - Fiumei út Kormányablak</t>
  </si>
  <si>
    <t>Budapest Főváros - Teve u. Kormányablak</t>
  </si>
  <si>
    <t>Csongrád megye - Hódmezővásárhely</t>
  </si>
  <si>
    <t>Csongrád megye - Szeged</t>
  </si>
  <si>
    <t>Fejér megye - Dunaújváros</t>
  </si>
  <si>
    <t>Fejér megye - Székesfehérvár</t>
  </si>
  <si>
    <t>Győr-Moson-Sopron - Győr</t>
  </si>
  <si>
    <t>Győr-Moson-Sopron - Sopron</t>
  </si>
  <si>
    <t>Hajdú-Bihar megye - Debrecen</t>
  </si>
  <si>
    <t>Heves megye - Eger</t>
  </si>
  <si>
    <t>Jász-Nagykun-Szolnok megye - Szolnok</t>
  </si>
  <si>
    <t>Komárom-Esztergom megye - Tatabánya</t>
  </si>
  <si>
    <t>Nógrád megye - Salgótarján</t>
  </si>
  <si>
    <t>Pest megye - Cegléd</t>
  </si>
  <si>
    <t>Pest megye - Érd</t>
  </si>
  <si>
    <t>Pest megye - Vác</t>
  </si>
  <si>
    <t>Somogy megye - Kaposvár</t>
  </si>
  <si>
    <t>Szabolcs-Szatmár-Bereg megye - Nyíregyháza</t>
  </si>
  <si>
    <t>Tolna megye - Szekszárd</t>
  </si>
  <si>
    <t>Vas megye - Szombathely</t>
  </si>
  <si>
    <t>Veszprém megye - Veszprém</t>
  </si>
  <si>
    <t>Zala megye - Nagykanizsa</t>
  </si>
  <si>
    <t>Zala megye - Zalaegerszeg</t>
  </si>
  <si>
    <t>2014.
december 31-i állapot</t>
  </si>
  <si>
    <t>2012.
december 31-i állapot</t>
  </si>
  <si>
    <t>2015.
december 31-i állapot</t>
  </si>
  <si>
    <t>Érvényes jelszóval rendelkező ügyfélkapuk száma a járási hivatalok kirendeltségeiben/kerületi hivatalaiban (okmányirodák, kormányablakok), megyénkénti bontásban 2016</t>
  </si>
  <si>
    <t>Budapest Főváros - Visegrádi u. Kormányablak</t>
  </si>
  <si>
    <t>november</t>
  </si>
  <si>
    <t>2016. november 30-i állapot</t>
  </si>
  <si>
    <t>december</t>
  </si>
  <si>
    <t>2016.
december 31-i állapot</t>
  </si>
  <si>
    <t>2016. december 31-i állapot</t>
  </si>
  <si>
    <t xml:space="preserve">Járási Hivatal (Okmányiroda) neve </t>
  </si>
  <si>
    <t>Anyakönyv*</t>
  </si>
  <si>
    <t>Egyéni vállalkozás*</t>
  </si>
  <si>
    <t>Személyazonosító igazolvány*</t>
  </si>
  <si>
    <t>Útlevél*</t>
  </si>
  <si>
    <t>Ügyfélkapu**</t>
  </si>
  <si>
    <t>* Az ügytípusban nincs lehetőség időpontfoglalásra.</t>
  </si>
  <si>
    <t>* Az ügytípusban nincs lehetőség ügyindításra.</t>
  </si>
  <si>
    <t>** Az Ügyfélkapu ügyek elintézése önálló rendszerben történik.</t>
  </si>
  <si>
    <t>2016. január</t>
  </si>
  <si>
    <t>2016. február</t>
  </si>
  <si>
    <t>2016. június</t>
  </si>
  <si>
    <t>2016. július</t>
  </si>
  <si>
    <t>2016. augusztus</t>
  </si>
  <si>
    <t>2016. szeptember</t>
  </si>
  <si>
    <t>2016. október</t>
  </si>
  <si>
    <t>2016. március</t>
  </si>
  <si>
    <t>2016. április</t>
  </si>
  <si>
    <t>2016. május</t>
  </si>
  <si>
    <t>2016. november</t>
  </si>
  <si>
    <t>2016. december</t>
  </si>
  <si>
    <t>Mindösszesen</t>
  </si>
  <si>
    <t>Mozgásban korlátozottak parkolási igazolványa*</t>
  </si>
  <si>
    <t>Az ügyfél által végzett elektronikus tevékenységek és időpontfoglalások megyei bontásban okmányirodánként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</si>
</sst>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\ ##0"/>
    <numFmt numFmtId="168" formatCode="[$¥€-2]\ #\ ##,000_);[Red]\([$€-2]\ #\ ##,0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0"/>
      <name val="Arial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 val="single"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center" vertical="center" wrapText="1" shrinkToFit="1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 vertical="center"/>
    </xf>
    <xf numFmtId="0" fontId="3" fillId="0" borderId="0" xfId="43" applyAlignment="1" applyProtection="1">
      <alignment/>
      <protection/>
    </xf>
    <xf numFmtId="0" fontId="2" fillId="33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0" fontId="0" fillId="3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3" fontId="2" fillId="34" borderId="26" xfId="0" applyNumberFormat="1" applyFont="1" applyFill="1" applyBorder="1" applyAlignment="1">
      <alignment horizontal="center"/>
    </xf>
    <xf numFmtId="3" fontId="2" fillId="34" borderId="27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3" fontId="0" fillId="0" borderId="34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3" fontId="0" fillId="35" borderId="11" xfId="0" applyNumberFormat="1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center"/>
    </xf>
    <xf numFmtId="3" fontId="0" fillId="35" borderId="31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0" fillId="35" borderId="41" xfId="0" applyNumberFormat="1" applyFont="1" applyFill="1" applyBorder="1" applyAlignment="1">
      <alignment horizontal="center"/>
    </xf>
    <xf numFmtId="3" fontId="0" fillId="35" borderId="42" xfId="0" applyNumberFormat="1" applyFont="1" applyFill="1" applyBorder="1" applyAlignment="1">
      <alignment horizontal="center"/>
    </xf>
    <xf numFmtId="3" fontId="0" fillId="0" borderId="43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 horizontal="center"/>
    </xf>
    <xf numFmtId="0" fontId="8" fillId="0" borderId="0" xfId="43" applyFont="1" applyAlignment="1" applyProtection="1">
      <alignment horizontal="center"/>
      <protection/>
    </xf>
    <xf numFmtId="3" fontId="2" fillId="33" borderId="45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3" fontId="0" fillId="35" borderId="12" xfId="0" applyNumberFormat="1" applyFont="1" applyFill="1" applyBorder="1" applyAlignment="1">
      <alignment horizontal="center"/>
    </xf>
    <xf numFmtId="3" fontId="0" fillId="35" borderId="32" xfId="0" applyNumberFormat="1" applyFont="1" applyFill="1" applyBorder="1" applyAlignment="1">
      <alignment horizontal="center"/>
    </xf>
    <xf numFmtId="3" fontId="0" fillId="35" borderId="33" xfId="0" applyNumberFormat="1" applyFont="1" applyFill="1" applyBorder="1" applyAlignment="1">
      <alignment horizontal="center"/>
    </xf>
    <xf numFmtId="0" fontId="8" fillId="0" borderId="0" xfId="43" applyFont="1" applyAlignment="1" applyProtection="1">
      <alignment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 shrinkToFit="1"/>
    </xf>
    <xf numFmtId="3" fontId="0" fillId="0" borderId="4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3" fontId="0" fillId="0" borderId="48" xfId="0" applyNumberFormat="1" applyFont="1" applyFill="1" applyBorder="1" applyAlignment="1">
      <alignment horizontal="center" vertical="center"/>
    </xf>
    <xf numFmtId="3" fontId="0" fillId="0" borderId="49" xfId="0" applyNumberFormat="1" applyFont="1" applyFill="1" applyBorder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3" fontId="2" fillId="33" borderId="5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43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3" fillId="0" borderId="0" xfId="43" applyFill="1" applyAlignment="1" applyProtection="1">
      <alignment horizontal="center" vertical="center"/>
      <protection/>
    </xf>
    <xf numFmtId="0" fontId="0" fillId="0" borderId="4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2" fillId="33" borderId="16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vertical="center"/>
    </xf>
    <xf numFmtId="3" fontId="0" fillId="0" borderId="48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 vertical="center"/>
    </xf>
    <xf numFmtId="3" fontId="0" fillId="0" borderId="42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44" xfId="0" applyNumberFormat="1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 vertical="center"/>
    </xf>
    <xf numFmtId="3" fontId="0" fillId="35" borderId="41" xfId="0" applyNumberFormat="1" applyFont="1" applyFill="1" applyBorder="1" applyAlignment="1">
      <alignment horizontal="center" vertical="center"/>
    </xf>
    <xf numFmtId="3" fontId="0" fillId="35" borderId="42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3" fontId="0" fillId="35" borderId="29" xfId="0" applyNumberFormat="1" applyFont="1" applyFill="1" applyBorder="1" applyAlignment="1">
      <alignment horizontal="center" vertical="center"/>
    </xf>
    <xf numFmtId="3" fontId="0" fillId="35" borderId="31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3" fontId="0" fillId="35" borderId="11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3" fontId="0" fillId="0" borderId="53" xfId="0" applyNumberFormat="1" applyFont="1" applyFill="1" applyBorder="1" applyAlignment="1">
      <alignment horizontal="center" vertical="center"/>
    </xf>
    <xf numFmtId="3" fontId="0" fillId="0" borderId="54" xfId="0" applyNumberFormat="1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56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3" fontId="0" fillId="0" borderId="41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horizontal="center" vertical="center" wrapText="1"/>
    </xf>
    <xf numFmtId="3" fontId="0" fillId="0" borderId="57" xfId="0" applyNumberFormat="1" applyFont="1" applyFill="1" applyBorder="1" applyAlignment="1">
      <alignment horizontal="center" vertical="center"/>
    </xf>
    <xf numFmtId="3" fontId="0" fillId="0" borderId="58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3" fontId="2" fillId="33" borderId="56" xfId="0" applyNumberFormat="1" applyFont="1" applyFill="1" applyBorder="1" applyAlignment="1">
      <alignment horizontal="center" vertical="center"/>
    </xf>
    <xf numFmtId="3" fontId="2" fillId="33" borderId="45" xfId="0" applyNumberFormat="1" applyFont="1" applyFill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center" vertical="center"/>
    </xf>
    <xf numFmtId="3" fontId="2" fillId="33" borderId="26" xfId="0" applyNumberFormat="1" applyFont="1" applyFill="1" applyBorder="1" applyAlignment="1">
      <alignment horizontal="center" vertical="center"/>
    </xf>
    <xf numFmtId="3" fontId="2" fillId="33" borderId="60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44" xfId="0" applyNumberFormat="1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3" fontId="0" fillId="0" borderId="62" xfId="0" applyNumberFormat="1" applyFont="1" applyFill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2" fillId="33" borderId="63" xfId="0" applyNumberFormat="1" applyFont="1" applyFill="1" applyBorder="1" applyAlignment="1">
      <alignment horizontal="center" vertical="center"/>
    </xf>
    <xf numFmtId="3" fontId="2" fillId="33" borderId="50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3" fontId="2" fillId="33" borderId="64" xfId="0" applyNumberFormat="1" applyFont="1" applyFill="1" applyBorder="1" applyAlignment="1">
      <alignment horizontal="center"/>
    </xf>
    <xf numFmtId="3" fontId="2" fillId="33" borderId="65" xfId="0" applyNumberFormat="1" applyFont="1" applyFill="1" applyBorder="1" applyAlignment="1">
      <alignment horizontal="center"/>
    </xf>
    <xf numFmtId="3" fontId="2" fillId="33" borderId="59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51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66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3" fontId="2" fillId="33" borderId="47" xfId="0" applyNumberFormat="1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3" fontId="0" fillId="0" borderId="68" xfId="0" applyNumberFormat="1" applyFont="1" applyFill="1" applyBorder="1" applyAlignment="1">
      <alignment horizontal="center" vertical="center"/>
    </xf>
    <xf numFmtId="3" fontId="0" fillId="0" borderId="69" xfId="0" applyNumberFormat="1" applyFont="1" applyFill="1" applyBorder="1" applyAlignment="1">
      <alignment horizontal="center" vertical="center"/>
    </xf>
    <xf numFmtId="3" fontId="2" fillId="33" borderId="63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3" fontId="0" fillId="0" borderId="71" xfId="0" applyNumberFormat="1" applyFont="1" applyFill="1" applyBorder="1" applyAlignment="1">
      <alignment horizontal="center" vertical="center"/>
    </xf>
    <xf numFmtId="3" fontId="0" fillId="0" borderId="70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3" fontId="2" fillId="34" borderId="63" xfId="0" applyNumberFormat="1" applyFont="1" applyFill="1" applyBorder="1" applyAlignment="1">
      <alignment horizontal="center"/>
    </xf>
    <xf numFmtId="3" fontId="2" fillId="34" borderId="73" xfId="0" applyNumberFormat="1" applyFont="1" applyFill="1" applyBorder="1" applyAlignment="1">
      <alignment horizontal="center"/>
    </xf>
    <xf numFmtId="3" fontId="2" fillId="34" borderId="45" xfId="0" applyNumberFormat="1" applyFont="1" applyFill="1" applyBorder="1" applyAlignment="1">
      <alignment horizontal="center"/>
    </xf>
    <xf numFmtId="3" fontId="2" fillId="34" borderId="59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5" borderId="13" xfId="0" applyNumberFormat="1" applyFont="1" applyFill="1" applyBorder="1" applyAlignment="1">
      <alignment horizontal="center" vertical="center"/>
    </xf>
    <xf numFmtId="3" fontId="0" fillId="35" borderId="13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2" fillId="33" borderId="73" xfId="0" applyFont="1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center" vertical="center"/>
    </xf>
    <xf numFmtId="3" fontId="0" fillId="0" borderId="7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3" borderId="75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3" fontId="0" fillId="0" borderId="74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2" fillId="36" borderId="65" xfId="0" applyFont="1" applyFill="1" applyBorder="1" applyAlignment="1">
      <alignment horizontal="center" vertical="center" wrapText="1"/>
    </xf>
    <xf numFmtId="3" fontId="2" fillId="33" borderId="65" xfId="0" applyNumberFormat="1" applyFont="1" applyFill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54" xfId="0" applyNumberFormat="1" applyFont="1" applyBorder="1" applyAlignment="1">
      <alignment horizontal="center" vertical="center"/>
    </xf>
    <xf numFmtId="3" fontId="0" fillId="0" borderId="53" xfId="0" applyNumberFormat="1" applyFont="1" applyBorder="1" applyAlignment="1">
      <alignment horizontal="center" vertical="center"/>
    </xf>
    <xf numFmtId="3" fontId="0" fillId="0" borderId="53" xfId="0" applyNumberFormat="1" applyFont="1" applyFill="1" applyBorder="1" applyAlignment="1">
      <alignment horizontal="center" vertical="center"/>
    </xf>
    <xf numFmtId="3" fontId="0" fillId="0" borderId="76" xfId="0" applyNumberFormat="1" applyFont="1" applyFill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2" fillId="33" borderId="60" xfId="0" applyNumberFormat="1" applyFont="1" applyFill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52" xfId="0" applyNumberFormat="1" applyFont="1" applyFill="1" applyBorder="1" applyAlignment="1">
      <alignment horizontal="center" vertical="center"/>
    </xf>
    <xf numFmtId="3" fontId="2" fillId="0" borderId="52" xfId="0" applyNumberFormat="1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 wrapText="1"/>
    </xf>
    <xf numFmtId="3" fontId="0" fillId="0" borderId="77" xfId="0" applyNumberFormat="1" applyFont="1" applyFill="1" applyBorder="1" applyAlignment="1">
      <alignment horizontal="center" vertical="center"/>
    </xf>
    <xf numFmtId="3" fontId="2" fillId="0" borderId="77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71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68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3" fontId="0" fillId="0" borderId="74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3" fontId="0" fillId="0" borderId="51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69" xfId="0" applyNumberFormat="1" applyFont="1" applyFill="1" applyBorder="1" applyAlignment="1">
      <alignment horizontal="center" vertical="center"/>
    </xf>
    <xf numFmtId="3" fontId="0" fillId="0" borderId="46" xfId="0" applyNumberFormat="1" applyFont="1" applyFill="1" applyBorder="1" applyAlignment="1">
      <alignment horizontal="center" vertical="center"/>
    </xf>
    <xf numFmtId="3" fontId="0" fillId="0" borderId="75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2" fillId="33" borderId="78" xfId="0" applyNumberFormat="1" applyFont="1" applyFill="1" applyBorder="1" applyAlignment="1">
      <alignment horizontal="center" vertical="center"/>
    </xf>
    <xf numFmtId="3" fontId="2" fillId="33" borderId="77" xfId="0" applyNumberFormat="1" applyFont="1" applyFill="1" applyBorder="1" applyAlignment="1">
      <alignment horizontal="center" vertical="center"/>
    </xf>
    <xf numFmtId="3" fontId="2" fillId="33" borderId="79" xfId="0" applyNumberFormat="1" applyFont="1" applyFill="1" applyBorder="1" applyAlignment="1">
      <alignment horizontal="center" vertical="center"/>
    </xf>
    <xf numFmtId="3" fontId="2" fillId="33" borderId="79" xfId="0" applyNumberFormat="1" applyFont="1" applyFill="1" applyBorder="1" applyAlignment="1">
      <alignment horizontal="center" vertical="center"/>
    </xf>
    <xf numFmtId="3" fontId="2" fillId="33" borderId="77" xfId="0" applyNumberFormat="1" applyFont="1" applyFill="1" applyBorder="1" applyAlignment="1">
      <alignment horizontal="center" vertical="center"/>
    </xf>
    <xf numFmtId="3" fontId="2" fillId="33" borderId="8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71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68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50" fillId="0" borderId="13" xfId="0" applyNumberFormat="1" applyFont="1" applyFill="1" applyBorder="1" applyAlignment="1">
      <alignment horizontal="center" vertical="center"/>
    </xf>
    <xf numFmtId="3" fontId="2" fillId="0" borderId="81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0" fillId="0" borderId="82" xfId="0" applyNumberFormat="1" applyFont="1" applyFill="1" applyBorder="1" applyAlignment="1">
      <alignment horizontal="center" vertical="center"/>
    </xf>
    <xf numFmtId="3" fontId="0" fillId="0" borderId="68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8" fillId="0" borderId="0" xfId="43" applyFont="1" applyAlignment="1" applyProtection="1">
      <alignment horizontal="center"/>
      <protection/>
    </xf>
    <xf numFmtId="0" fontId="0" fillId="0" borderId="8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85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1" fillId="0" borderId="0" xfId="43" applyFont="1" applyAlignment="1" applyProtection="1">
      <alignment horizontal="center"/>
      <protection/>
    </xf>
    <xf numFmtId="0" fontId="0" fillId="0" borderId="51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/>
    </xf>
    <xf numFmtId="0" fontId="3" fillId="0" borderId="0" xfId="43" applyAlignment="1" applyProtection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C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FECC3"/>
                  </a:solidFill>
                </c14:spPr>
              </c14:invertSolidFillFmt>
            </c:ext>
          </c:extLst>
          <c:cat>
            <c:strRef>
              <c:f>'XR elintézett ügyek'!#REF!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'XR elintézett ügyek'!#REF!</c:f>
              <c:numCache>
                <c:ptCount val="1"/>
                <c:pt idx="0">
                  <c:v>1</c:v>
                </c:pt>
              </c:numCache>
            </c:numRef>
          </c:val>
        </c:ser>
        <c:axId val="12842080"/>
        <c:axId val="48469857"/>
      </c:barChart>
      <c:catAx>
        <c:axId val="12842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69857"/>
        <c:crosses val="autoZero"/>
        <c:auto val="1"/>
        <c:lblOffset val="100"/>
        <c:tickLblSkip val="1"/>
        <c:noMultiLvlLbl val="0"/>
      </c:catAx>
      <c:valAx>
        <c:axId val="48469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4208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765E47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0</xdr:row>
      <xdr:rowOff>0</xdr:rowOff>
    </xdr:to>
    <xdr:graphicFrame>
      <xdr:nvGraphicFramePr>
        <xdr:cNvPr id="1" name="Diagram 1"/>
        <xdr:cNvGraphicFramePr/>
      </xdr:nvGraphicFramePr>
      <xdr:xfrm>
        <a:off x="0" y="0"/>
        <a:ext cx="285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/>
  <dimension ref="B2:C14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2" max="2" width="6.8515625" style="0" customWidth="1"/>
    <col min="3" max="3" width="118.00390625" style="0" bestFit="1" customWidth="1"/>
  </cols>
  <sheetData>
    <row r="2" s="18" customFormat="1" ht="15.75">
      <c r="B2" s="17" t="s">
        <v>61</v>
      </c>
    </row>
    <row r="3" s="12" customFormat="1" ht="15">
      <c r="C3" s="29" t="s">
        <v>62</v>
      </c>
    </row>
    <row r="4" s="12" customFormat="1" ht="15">
      <c r="C4" s="29" t="s">
        <v>63</v>
      </c>
    </row>
    <row r="5" s="12" customFormat="1" ht="15"/>
    <row r="6" s="12" customFormat="1" ht="15"/>
    <row r="7" s="18" customFormat="1" ht="15.75">
      <c r="B7" s="17" t="s">
        <v>110</v>
      </c>
    </row>
    <row r="8" s="12" customFormat="1" ht="15">
      <c r="C8" s="29" t="s">
        <v>107</v>
      </c>
    </row>
    <row r="9" s="12" customFormat="1" ht="15">
      <c r="C9" s="29" t="s">
        <v>109</v>
      </c>
    </row>
    <row r="10" s="12" customFormat="1" ht="15"/>
    <row r="11" s="12" customFormat="1" ht="15"/>
    <row r="12" s="18" customFormat="1" ht="15.75">
      <c r="B12" s="17" t="s">
        <v>102</v>
      </c>
    </row>
    <row r="13" s="12" customFormat="1" ht="15">
      <c r="C13" s="29" t="s">
        <v>60</v>
      </c>
    </row>
    <row r="14" s="12" customFormat="1" ht="15">
      <c r="C14" s="29" t="s">
        <v>556</v>
      </c>
    </row>
  </sheetData>
  <sheetProtection/>
  <hyperlinks>
    <hyperlink ref="C13" location="'XR elintézett ügyek'!A1" display="Ügytípusonként az elintézett ügyek és időpontfoglalások száma"/>
    <hyperlink ref="C9" location="'Ügyfélkapuk okmányirodánként'!A1" display="Érvényes jelszóval rendelkező Ügyfélkapuk száma Okmányirodánként"/>
    <hyperlink ref="C8" location="'Érvényes Ügyfélkapuk száma '!A1" display="Adatok az érvényes jelszóval rendelkező ügyfélkapuk számáról"/>
    <hyperlink ref="C14" location="'XR megyénként (2016)'!A1" display="Az ügyfél által végzett elektronikus tevékenységek megyénként összesített és megyei bontásban okmányirodánként"/>
    <hyperlink ref="C3" location="' sms, e-mail értesítés I.'!A1" display="Az elkészült személyi okmányokról szóló értesítések típus szerinti megoszlásban"/>
    <hyperlink ref="C4" location="'sms, e-mail értesítés II.'!A1" display="Az elkészült személyi okmányokról szóló értesítések átvétel helye szerinti megoszlásban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8"/>
  <dimension ref="B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6.7109375" style="1" customWidth="1"/>
    <col min="3" max="10" width="10.7109375" style="1" customWidth="1"/>
    <col min="11" max="11" width="11.57421875" style="1" customWidth="1"/>
    <col min="12" max="14" width="10.7109375" style="1" customWidth="1"/>
    <col min="15" max="15" width="10.28125" style="1" customWidth="1"/>
    <col min="16" max="16" width="9.140625" style="1" customWidth="1"/>
    <col min="17" max="16384" width="9.140625" style="1" customWidth="1"/>
  </cols>
  <sheetData>
    <row r="2" spans="2:15" ht="15" customHeight="1">
      <c r="B2" s="48" t="s">
        <v>474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4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3.5" thickBot="1"/>
    <row r="5" spans="2:15" ht="33.75" customHeight="1" thickBot="1">
      <c r="B5" s="244"/>
      <c r="C5" s="14" t="s">
        <v>94</v>
      </c>
      <c r="D5" s="42" t="s">
        <v>447</v>
      </c>
      <c r="E5" s="42" t="s">
        <v>449</v>
      </c>
      <c r="F5" s="42" t="s">
        <v>452</v>
      </c>
      <c r="G5" s="42" t="s">
        <v>469</v>
      </c>
      <c r="H5" s="42" t="s">
        <v>477</v>
      </c>
      <c r="I5" s="42" t="s">
        <v>483</v>
      </c>
      <c r="J5" s="42" t="s">
        <v>485</v>
      </c>
      <c r="K5" s="42" t="s">
        <v>486</v>
      </c>
      <c r="L5" s="42" t="s">
        <v>489</v>
      </c>
      <c r="M5" s="42" t="s">
        <v>528</v>
      </c>
      <c r="N5" s="42" t="s">
        <v>530</v>
      </c>
      <c r="O5" s="14" t="s">
        <v>0</v>
      </c>
    </row>
    <row r="6" spans="2:15" ht="24" customHeight="1" thickBot="1">
      <c r="B6" s="305" t="s">
        <v>490</v>
      </c>
      <c r="C6" s="300">
        <v>149182</v>
      </c>
      <c r="D6" s="300">
        <v>129673</v>
      </c>
      <c r="E6" s="300">
        <v>131841</v>
      </c>
      <c r="F6" s="300">
        <v>164125</v>
      </c>
      <c r="G6" s="300">
        <v>155864</v>
      </c>
      <c r="H6" s="300">
        <v>173797</v>
      </c>
      <c r="I6" s="300">
        <v>156809</v>
      </c>
      <c r="J6" s="300">
        <v>173497</v>
      </c>
      <c r="K6" s="300">
        <v>132425</v>
      </c>
      <c r="L6" s="300">
        <v>116022</v>
      </c>
      <c r="M6" s="300">
        <v>106266</v>
      </c>
      <c r="N6" s="300">
        <v>83466</v>
      </c>
      <c r="O6" s="301">
        <f>SUM(C6:N6)</f>
        <v>1672967</v>
      </c>
    </row>
    <row r="7" spans="2:15" ht="24" customHeight="1" thickBot="1" thickTop="1">
      <c r="B7" s="302" t="s">
        <v>95</v>
      </c>
      <c r="C7" s="303">
        <v>3474</v>
      </c>
      <c r="D7" s="303">
        <v>3597</v>
      </c>
      <c r="E7" s="303">
        <v>3178</v>
      </c>
      <c r="F7" s="303">
        <v>3216</v>
      </c>
      <c r="G7" s="303">
        <v>3424</v>
      </c>
      <c r="H7" s="303">
        <v>3448</v>
      </c>
      <c r="I7" s="303">
        <v>3496</v>
      </c>
      <c r="J7" s="303">
        <v>4414</v>
      </c>
      <c r="K7" s="303">
        <v>3132</v>
      </c>
      <c r="L7" s="303">
        <v>2382</v>
      </c>
      <c r="M7" s="303">
        <v>2482</v>
      </c>
      <c r="N7" s="303">
        <v>2361</v>
      </c>
      <c r="O7" s="304">
        <f>SUM(C7:N7)</f>
        <v>38604</v>
      </c>
    </row>
    <row r="8" spans="2:15" ht="24" customHeight="1" thickBot="1">
      <c r="B8" s="21" t="s">
        <v>96</v>
      </c>
      <c r="C8" s="53">
        <v>88021</v>
      </c>
      <c r="D8" s="53">
        <v>74262</v>
      </c>
      <c r="E8" s="53">
        <v>79098</v>
      </c>
      <c r="F8" s="53">
        <v>103793</v>
      </c>
      <c r="G8" s="53">
        <v>100966</v>
      </c>
      <c r="H8" s="53">
        <v>116214</v>
      </c>
      <c r="I8" s="53">
        <v>103244</v>
      </c>
      <c r="J8" s="53">
        <v>119376</v>
      </c>
      <c r="K8" s="53">
        <v>85879</v>
      </c>
      <c r="L8" s="53">
        <v>73879</v>
      </c>
      <c r="M8" s="53">
        <v>68784</v>
      </c>
      <c r="N8" s="300">
        <v>55089</v>
      </c>
      <c r="O8" s="301">
        <f>SUM(C8:N8)</f>
        <v>1068605</v>
      </c>
    </row>
    <row r="9" spans="2:15" ht="24" customHeight="1" thickBot="1">
      <c r="B9" s="21" t="s">
        <v>97</v>
      </c>
      <c r="C9" s="53">
        <v>33</v>
      </c>
      <c r="D9" s="53">
        <v>37</v>
      </c>
      <c r="E9" s="53">
        <v>40</v>
      </c>
      <c r="F9" s="53">
        <v>40</v>
      </c>
      <c r="G9" s="53">
        <v>38</v>
      </c>
      <c r="H9" s="53">
        <v>31</v>
      </c>
      <c r="I9" s="53">
        <v>44</v>
      </c>
      <c r="J9" s="53">
        <v>46</v>
      </c>
      <c r="K9" s="53">
        <v>44</v>
      </c>
      <c r="L9" s="53">
        <v>22</v>
      </c>
      <c r="M9" s="53">
        <v>24</v>
      </c>
      <c r="N9" s="53">
        <v>22</v>
      </c>
      <c r="O9" s="28">
        <f>SUM(C9:N9)</f>
        <v>421</v>
      </c>
    </row>
    <row r="10" spans="2:15" ht="24" customHeight="1" thickBot="1">
      <c r="B10" s="23" t="s">
        <v>98</v>
      </c>
      <c r="C10" s="24">
        <f aca="true" t="shared" si="0" ref="C10:J10">SUM(C7:C9)</f>
        <v>91528</v>
      </c>
      <c r="D10" s="24">
        <f t="shared" si="0"/>
        <v>77896</v>
      </c>
      <c r="E10" s="24">
        <f t="shared" si="0"/>
        <v>82316</v>
      </c>
      <c r="F10" s="24">
        <f t="shared" si="0"/>
        <v>107049</v>
      </c>
      <c r="G10" s="24">
        <f t="shared" si="0"/>
        <v>104428</v>
      </c>
      <c r="H10" s="24">
        <f t="shared" si="0"/>
        <v>119693</v>
      </c>
      <c r="I10" s="24">
        <f t="shared" si="0"/>
        <v>106784</v>
      </c>
      <c r="J10" s="24">
        <f t="shared" si="0"/>
        <v>123836</v>
      </c>
      <c r="K10" s="24">
        <f>SUM(K7:K9)</f>
        <v>89055</v>
      </c>
      <c r="L10" s="24">
        <f>SUM(L7:L9)</f>
        <v>76283</v>
      </c>
      <c r="M10" s="24">
        <f>SUM(M7:M9)</f>
        <v>71290</v>
      </c>
      <c r="N10" s="24">
        <f>SUM(N7:N9)</f>
        <v>57472</v>
      </c>
      <c r="O10" s="28">
        <f>SUM(C10:N10)</f>
        <v>1107630</v>
      </c>
    </row>
    <row r="11" spans="2:14" ht="19.5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ht="12.75">
      <c r="B12" s="27"/>
    </row>
    <row r="14" spans="2:15" ht="15.75" customHeight="1">
      <c r="B14" s="48" t="s">
        <v>475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2:14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ht="13.5" thickBot="1"/>
    <row r="17" spans="2:15" ht="33.75" customHeight="1" thickBot="1">
      <c r="B17" s="244"/>
      <c r="C17" s="14" t="s">
        <v>94</v>
      </c>
      <c r="D17" s="42" t="s">
        <v>447</v>
      </c>
      <c r="E17" s="42" t="s">
        <v>449</v>
      </c>
      <c r="F17" s="42" t="s">
        <v>452</v>
      </c>
      <c r="G17" s="42" t="s">
        <v>469</v>
      </c>
      <c r="H17" s="42" t="s">
        <v>477</v>
      </c>
      <c r="I17" s="42" t="s">
        <v>483</v>
      </c>
      <c r="J17" s="42" t="s">
        <v>485</v>
      </c>
      <c r="K17" s="42" t="s">
        <v>486</v>
      </c>
      <c r="L17" s="42" t="s">
        <v>489</v>
      </c>
      <c r="M17" s="42" t="s">
        <v>528</v>
      </c>
      <c r="N17" s="42" t="s">
        <v>530</v>
      </c>
      <c r="O17" s="14" t="s">
        <v>0</v>
      </c>
    </row>
    <row r="18" spans="2:15" ht="24" customHeight="1" thickBot="1">
      <c r="B18" s="305" t="s">
        <v>490</v>
      </c>
      <c r="C18" s="300">
        <v>27461</v>
      </c>
      <c r="D18" s="300">
        <v>31167</v>
      </c>
      <c r="E18" s="300">
        <v>31409</v>
      </c>
      <c r="F18" s="300">
        <v>33106</v>
      </c>
      <c r="G18" s="300">
        <v>37304</v>
      </c>
      <c r="H18" s="300">
        <v>41581</v>
      </c>
      <c r="I18" s="300">
        <v>39949</v>
      </c>
      <c r="J18" s="300">
        <v>38313</v>
      </c>
      <c r="K18" s="300">
        <v>29470</v>
      </c>
      <c r="L18" s="300">
        <v>24898</v>
      </c>
      <c r="M18" s="300">
        <v>25078</v>
      </c>
      <c r="N18" s="300">
        <v>22664</v>
      </c>
      <c r="O18" s="301">
        <f>SUM(C18:N18)</f>
        <v>382400</v>
      </c>
    </row>
    <row r="19" spans="2:15" ht="24" customHeight="1" thickBot="1" thickTop="1">
      <c r="B19" s="302" t="s">
        <v>95</v>
      </c>
      <c r="C19" s="303">
        <v>882</v>
      </c>
      <c r="D19" s="303">
        <v>896</v>
      </c>
      <c r="E19" s="303">
        <v>902</v>
      </c>
      <c r="F19" s="303">
        <v>851</v>
      </c>
      <c r="G19" s="303">
        <v>1109</v>
      </c>
      <c r="H19" s="303">
        <v>1145</v>
      </c>
      <c r="I19" s="303">
        <v>1228</v>
      </c>
      <c r="J19" s="303">
        <v>1315</v>
      </c>
      <c r="K19" s="303">
        <v>870</v>
      </c>
      <c r="L19" s="303">
        <v>774</v>
      </c>
      <c r="M19" s="303">
        <v>758</v>
      </c>
      <c r="N19" s="303">
        <v>831</v>
      </c>
      <c r="O19" s="304">
        <f>SUM(C19:N19)</f>
        <v>11561</v>
      </c>
    </row>
    <row r="20" spans="2:15" ht="24" customHeight="1" thickBot="1">
      <c r="B20" s="21" t="s">
        <v>96</v>
      </c>
      <c r="C20" s="53">
        <v>8693</v>
      </c>
      <c r="D20" s="53">
        <v>9834</v>
      </c>
      <c r="E20" s="53">
        <v>10197</v>
      </c>
      <c r="F20" s="53">
        <v>10608</v>
      </c>
      <c r="G20" s="53">
        <v>12612</v>
      </c>
      <c r="H20" s="53">
        <v>14983</v>
      </c>
      <c r="I20" s="53">
        <v>14551</v>
      </c>
      <c r="J20" s="53">
        <v>14384</v>
      </c>
      <c r="K20" s="53">
        <v>10598</v>
      </c>
      <c r="L20" s="53">
        <v>8948</v>
      </c>
      <c r="M20" s="53">
        <v>9015</v>
      </c>
      <c r="N20" s="300">
        <v>8478</v>
      </c>
      <c r="O20" s="301">
        <f>SUM(C20:N20)</f>
        <v>132901</v>
      </c>
    </row>
    <row r="21" spans="2:15" ht="24" customHeight="1" thickBot="1">
      <c r="B21" s="21" t="s">
        <v>97</v>
      </c>
      <c r="C21" s="53">
        <v>21</v>
      </c>
      <c r="D21" s="53">
        <v>10</v>
      </c>
      <c r="E21" s="53">
        <v>12</v>
      </c>
      <c r="F21" s="53">
        <v>19</v>
      </c>
      <c r="G21" s="53">
        <v>25</v>
      </c>
      <c r="H21" s="53">
        <v>20</v>
      </c>
      <c r="I21" s="53">
        <v>25</v>
      </c>
      <c r="J21" s="53">
        <v>23</v>
      </c>
      <c r="K21" s="53">
        <v>22</v>
      </c>
      <c r="L21" s="53">
        <v>11</v>
      </c>
      <c r="M21" s="53">
        <v>16</v>
      </c>
      <c r="N21" s="53">
        <v>25</v>
      </c>
      <c r="O21" s="28">
        <f>SUM(C21:N21)</f>
        <v>229</v>
      </c>
    </row>
    <row r="22" spans="2:15" ht="24" customHeight="1" thickBot="1">
      <c r="B22" s="23" t="s">
        <v>98</v>
      </c>
      <c r="C22" s="24">
        <f aca="true" t="shared" si="1" ref="C22:N22">SUM(C19:C21)</f>
        <v>9596</v>
      </c>
      <c r="D22" s="24">
        <f t="shared" si="1"/>
        <v>10740</v>
      </c>
      <c r="E22" s="24">
        <f t="shared" si="1"/>
        <v>11111</v>
      </c>
      <c r="F22" s="24">
        <f t="shared" si="1"/>
        <v>11478</v>
      </c>
      <c r="G22" s="24">
        <f t="shared" si="1"/>
        <v>13746</v>
      </c>
      <c r="H22" s="24">
        <f t="shared" si="1"/>
        <v>16148</v>
      </c>
      <c r="I22" s="24">
        <f t="shared" si="1"/>
        <v>15804</v>
      </c>
      <c r="J22" s="24">
        <f t="shared" si="1"/>
        <v>15722</v>
      </c>
      <c r="K22" s="24">
        <f t="shared" si="1"/>
        <v>11490</v>
      </c>
      <c r="L22" s="24">
        <f t="shared" si="1"/>
        <v>9733</v>
      </c>
      <c r="M22" s="24">
        <f t="shared" si="1"/>
        <v>9789</v>
      </c>
      <c r="N22" s="24">
        <f t="shared" si="1"/>
        <v>9334</v>
      </c>
      <c r="O22" s="28">
        <f>SUM(C22:N22)</f>
        <v>144691</v>
      </c>
    </row>
    <row r="26" spans="2:15" ht="15.75" customHeight="1">
      <c r="B26" s="48" t="s">
        <v>476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2:14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ht="13.5" thickBot="1"/>
    <row r="29" spans="2:15" ht="33.75" customHeight="1" thickBot="1">
      <c r="B29" s="244"/>
      <c r="C29" s="14" t="s">
        <v>94</v>
      </c>
      <c r="D29" s="42" t="s">
        <v>447</v>
      </c>
      <c r="E29" s="42" t="s">
        <v>449</v>
      </c>
      <c r="F29" s="42" t="s">
        <v>452</v>
      </c>
      <c r="G29" s="42" t="s">
        <v>469</v>
      </c>
      <c r="H29" s="42" t="s">
        <v>477</v>
      </c>
      <c r="I29" s="42" t="s">
        <v>483</v>
      </c>
      <c r="J29" s="42" t="s">
        <v>485</v>
      </c>
      <c r="K29" s="42" t="s">
        <v>486</v>
      </c>
      <c r="L29" s="42" t="s">
        <v>489</v>
      </c>
      <c r="M29" s="42" t="s">
        <v>528</v>
      </c>
      <c r="N29" s="42" t="s">
        <v>530</v>
      </c>
      <c r="O29" s="14" t="s">
        <v>0</v>
      </c>
    </row>
    <row r="30" spans="2:15" ht="24" customHeight="1" thickBot="1">
      <c r="B30" s="21" t="s">
        <v>95</v>
      </c>
      <c r="C30" s="53">
        <v>4356</v>
      </c>
      <c r="D30" s="53">
        <v>4493</v>
      </c>
      <c r="E30" s="53">
        <f aca="true" t="shared" si="2" ref="E30:F32">E19+E7</f>
        <v>4080</v>
      </c>
      <c r="F30" s="53">
        <f t="shared" si="2"/>
        <v>4067</v>
      </c>
      <c r="G30" s="53">
        <v>4533</v>
      </c>
      <c r="H30" s="53">
        <v>4593</v>
      </c>
      <c r="I30" s="53">
        <v>4724</v>
      </c>
      <c r="J30" s="53">
        <v>5729</v>
      </c>
      <c r="K30" s="53">
        <v>4002</v>
      </c>
      <c r="L30" s="53">
        <v>3156</v>
      </c>
      <c r="M30" s="53">
        <v>3240</v>
      </c>
      <c r="N30" s="53">
        <v>3192</v>
      </c>
      <c r="O30" s="28">
        <f>SUM(C30:N30)</f>
        <v>50165</v>
      </c>
    </row>
    <row r="31" spans="2:15" ht="24" customHeight="1" thickBot="1">
      <c r="B31" s="21" t="s">
        <v>96</v>
      </c>
      <c r="C31" s="53">
        <v>96714</v>
      </c>
      <c r="D31" s="53">
        <v>84096</v>
      </c>
      <c r="E31" s="53">
        <f t="shared" si="2"/>
        <v>89295</v>
      </c>
      <c r="F31" s="53">
        <f t="shared" si="2"/>
        <v>114401</v>
      </c>
      <c r="G31" s="53">
        <v>113578</v>
      </c>
      <c r="H31" s="53">
        <v>131197</v>
      </c>
      <c r="I31" s="53">
        <v>117795</v>
      </c>
      <c r="J31" s="53">
        <v>133760</v>
      </c>
      <c r="K31" s="53">
        <v>96477</v>
      </c>
      <c r="L31" s="53">
        <v>82827</v>
      </c>
      <c r="M31" s="53">
        <v>77799</v>
      </c>
      <c r="N31" s="53">
        <v>63567</v>
      </c>
      <c r="O31" s="28">
        <f>SUM(C31:N31)</f>
        <v>1201506</v>
      </c>
    </row>
    <row r="32" spans="2:15" ht="24" customHeight="1" thickBot="1">
      <c r="B32" s="21" t="s">
        <v>97</v>
      </c>
      <c r="C32" s="53">
        <v>54</v>
      </c>
      <c r="D32" s="53">
        <v>47</v>
      </c>
      <c r="E32" s="53">
        <f t="shared" si="2"/>
        <v>52</v>
      </c>
      <c r="F32" s="53">
        <f t="shared" si="2"/>
        <v>59</v>
      </c>
      <c r="G32" s="53">
        <v>63</v>
      </c>
      <c r="H32" s="53">
        <v>51</v>
      </c>
      <c r="I32" s="53">
        <v>69</v>
      </c>
      <c r="J32" s="53">
        <v>69</v>
      </c>
      <c r="K32" s="53">
        <v>66</v>
      </c>
      <c r="L32" s="53">
        <v>33</v>
      </c>
      <c r="M32" s="53">
        <v>40</v>
      </c>
      <c r="N32" s="53">
        <v>47</v>
      </c>
      <c r="O32" s="28">
        <f>SUM(C32:N32)</f>
        <v>650</v>
      </c>
    </row>
    <row r="33" spans="2:15" ht="24" customHeight="1" thickBot="1">
      <c r="B33" s="21" t="s">
        <v>98</v>
      </c>
      <c r="C33" s="28">
        <f aca="true" t="shared" si="3" ref="C33:N33">SUM(C30:C32)</f>
        <v>101124</v>
      </c>
      <c r="D33" s="28">
        <f t="shared" si="3"/>
        <v>88636</v>
      </c>
      <c r="E33" s="28">
        <f t="shared" si="3"/>
        <v>93427</v>
      </c>
      <c r="F33" s="28">
        <f t="shared" si="3"/>
        <v>118527</v>
      </c>
      <c r="G33" s="28">
        <f t="shared" si="3"/>
        <v>118174</v>
      </c>
      <c r="H33" s="28">
        <f t="shared" si="3"/>
        <v>135841</v>
      </c>
      <c r="I33" s="28">
        <f t="shared" si="3"/>
        <v>122588</v>
      </c>
      <c r="J33" s="28">
        <f t="shared" si="3"/>
        <v>139558</v>
      </c>
      <c r="K33" s="28">
        <f t="shared" si="3"/>
        <v>100545</v>
      </c>
      <c r="L33" s="28">
        <f t="shared" si="3"/>
        <v>86016</v>
      </c>
      <c r="M33" s="28">
        <f t="shared" si="3"/>
        <v>81079</v>
      </c>
      <c r="N33" s="28">
        <f t="shared" si="3"/>
        <v>66806</v>
      </c>
      <c r="O33" s="28">
        <f>SUM(C33:N33)</f>
        <v>1252321</v>
      </c>
    </row>
    <row r="34" spans="2:14" ht="12.75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4" ht="12.75"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2:15" ht="12.75">
      <c r="B36" s="19" t="s">
        <v>103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2:15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2:14" ht="12.75">
      <c r="B38" s="11"/>
      <c r="C38"/>
      <c r="D38"/>
      <c r="E38"/>
      <c r="F38"/>
      <c r="G38"/>
      <c r="H38"/>
      <c r="I38"/>
      <c r="J38"/>
      <c r="K38"/>
      <c r="L38"/>
      <c r="M38"/>
      <c r="N38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10:N10 C22:N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9"/>
  <dimension ref="B2:O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10" width="10.7109375" style="0" customWidth="1"/>
    <col min="11" max="11" width="12.00390625" style="0" customWidth="1"/>
    <col min="12" max="14" width="10.7109375" style="0" customWidth="1"/>
    <col min="15" max="15" width="9.57421875" style="0" customWidth="1"/>
  </cols>
  <sheetData>
    <row r="1" s="1" customFormat="1" ht="12.75"/>
    <row r="2" spans="2:15" ht="18" customHeight="1">
      <c r="B2" s="18" t="s">
        <v>470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9"/>
    </row>
    <row r="3" spans="2:15" ht="18" customHeight="1">
      <c r="B3" s="18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9"/>
    </row>
    <row r="4" spans="2:14" ht="12.7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2:15" ht="18.75" customHeight="1">
      <c r="B5" s="18" t="s">
        <v>99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4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5" ht="23.25" customHeight="1" thickBot="1">
      <c r="B7" s="244"/>
      <c r="C7" s="14" t="s">
        <v>94</v>
      </c>
      <c r="D7" s="42" t="s">
        <v>447</v>
      </c>
      <c r="E7" s="42" t="s">
        <v>449</v>
      </c>
      <c r="F7" s="42" t="s">
        <v>452</v>
      </c>
      <c r="G7" s="42" t="s">
        <v>469</v>
      </c>
      <c r="H7" s="42" t="s">
        <v>477</v>
      </c>
      <c r="I7" s="42" t="s">
        <v>483</v>
      </c>
      <c r="J7" s="42" t="s">
        <v>485</v>
      </c>
      <c r="K7" s="42" t="s">
        <v>486</v>
      </c>
      <c r="L7" s="42" t="s">
        <v>489</v>
      </c>
      <c r="M7" s="42" t="s">
        <v>528</v>
      </c>
      <c r="N7" s="42" t="s">
        <v>530</v>
      </c>
      <c r="O7" s="42" t="s">
        <v>471</v>
      </c>
    </row>
    <row r="8" spans="2:15" ht="24" customHeight="1" thickBot="1">
      <c r="B8" s="21" t="s">
        <v>95</v>
      </c>
      <c r="C8" s="53">
        <v>3132</v>
      </c>
      <c r="D8" s="53">
        <v>3487</v>
      </c>
      <c r="E8" s="53">
        <v>3069</v>
      </c>
      <c r="F8" s="53">
        <v>3117</v>
      </c>
      <c r="G8" s="53">
        <v>3324</v>
      </c>
      <c r="H8" s="53">
        <v>3356</v>
      </c>
      <c r="I8" s="53">
        <v>3384</v>
      </c>
      <c r="J8" s="53">
        <v>4295</v>
      </c>
      <c r="K8" s="53">
        <v>3044</v>
      </c>
      <c r="L8" s="53">
        <v>2309</v>
      </c>
      <c r="M8" s="53">
        <v>2402</v>
      </c>
      <c r="N8" s="53">
        <v>2295</v>
      </c>
      <c r="O8" s="28">
        <f>SUM(C8:N8)</f>
        <v>37214</v>
      </c>
    </row>
    <row r="9" spans="2:15" ht="24" customHeight="1" thickBot="1">
      <c r="B9" s="21" t="s">
        <v>96</v>
      </c>
      <c r="C9" s="53">
        <v>84923</v>
      </c>
      <c r="D9" s="53">
        <v>71742</v>
      </c>
      <c r="E9" s="53">
        <v>76651</v>
      </c>
      <c r="F9" s="53">
        <v>101170</v>
      </c>
      <c r="G9" s="53">
        <v>98539</v>
      </c>
      <c r="H9" s="53">
        <v>113329</v>
      </c>
      <c r="I9" s="53">
        <v>100661</v>
      </c>
      <c r="J9" s="53">
        <v>116425</v>
      </c>
      <c r="K9" s="53">
        <v>83920</v>
      </c>
      <c r="L9" s="53">
        <v>72200</v>
      </c>
      <c r="M9" s="53">
        <v>67182</v>
      </c>
      <c r="N9" s="53">
        <v>53883</v>
      </c>
      <c r="O9" s="28">
        <f>SUM(C9:N9)</f>
        <v>1040625</v>
      </c>
    </row>
    <row r="10" spans="2:15" ht="24" customHeight="1" thickBot="1">
      <c r="B10" s="21" t="s">
        <v>97</v>
      </c>
      <c r="C10" s="53">
        <v>38</v>
      </c>
      <c r="D10" s="53">
        <v>39</v>
      </c>
      <c r="E10" s="53">
        <v>40</v>
      </c>
      <c r="F10" s="53">
        <v>40</v>
      </c>
      <c r="G10" s="53">
        <v>38</v>
      </c>
      <c r="H10" s="53">
        <v>30</v>
      </c>
      <c r="I10" s="53">
        <v>44</v>
      </c>
      <c r="J10" s="53">
        <v>45</v>
      </c>
      <c r="K10" s="53">
        <v>42</v>
      </c>
      <c r="L10" s="53">
        <v>21</v>
      </c>
      <c r="M10" s="53">
        <v>35</v>
      </c>
      <c r="N10" s="53">
        <v>22</v>
      </c>
      <c r="O10" s="28">
        <f>SUM(C10:N10)</f>
        <v>434</v>
      </c>
    </row>
    <row r="11" spans="2:15" ht="24" customHeight="1" thickBot="1">
      <c r="B11" s="23" t="s">
        <v>98</v>
      </c>
      <c r="C11" s="24">
        <f aca="true" t="shared" si="0" ref="C11:N11">SUM(C8:C10)</f>
        <v>88093</v>
      </c>
      <c r="D11" s="24">
        <f t="shared" si="0"/>
        <v>75268</v>
      </c>
      <c r="E11" s="24">
        <f t="shared" si="0"/>
        <v>79760</v>
      </c>
      <c r="F11" s="24">
        <f t="shared" si="0"/>
        <v>104327</v>
      </c>
      <c r="G11" s="24">
        <f t="shared" si="0"/>
        <v>101901</v>
      </c>
      <c r="H11" s="24">
        <f t="shared" si="0"/>
        <v>116715</v>
      </c>
      <c r="I11" s="24">
        <f t="shared" si="0"/>
        <v>104089</v>
      </c>
      <c r="J11" s="24">
        <f t="shared" si="0"/>
        <v>120765</v>
      </c>
      <c r="K11" s="24">
        <f t="shared" si="0"/>
        <v>87006</v>
      </c>
      <c r="L11" s="24">
        <f t="shared" si="0"/>
        <v>74530</v>
      </c>
      <c r="M11" s="24">
        <f t="shared" si="0"/>
        <v>69619</v>
      </c>
      <c r="N11" s="24">
        <f t="shared" si="0"/>
        <v>56200</v>
      </c>
      <c r="O11" s="28">
        <f>SUM(C11:N11)</f>
        <v>1078273</v>
      </c>
    </row>
    <row r="14" spans="2:15" ht="15.75" customHeight="1">
      <c r="B14" s="18" t="s">
        <v>100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2:14" ht="13.5" thickBo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5" ht="25.5" customHeight="1" thickBot="1">
      <c r="B16" s="244"/>
      <c r="C16" s="14" t="s">
        <v>94</v>
      </c>
      <c r="D16" s="42" t="s">
        <v>447</v>
      </c>
      <c r="E16" s="42" t="s">
        <v>449</v>
      </c>
      <c r="F16" s="42" t="s">
        <v>452</v>
      </c>
      <c r="G16" s="42" t="s">
        <v>469</v>
      </c>
      <c r="H16" s="42" t="s">
        <v>477</v>
      </c>
      <c r="I16" s="42" t="s">
        <v>483</v>
      </c>
      <c r="J16" s="42" t="s">
        <v>485</v>
      </c>
      <c r="K16" s="42" t="s">
        <v>486</v>
      </c>
      <c r="L16" s="42" t="s">
        <v>489</v>
      </c>
      <c r="M16" s="42" t="s">
        <v>528</v>
      </c>
      <c r="N16" s="42" t="s">
        <v>530</v>
      </c>
      <c r="O16" s="42" t="s">
        <v>471</v>
      </c>
    </row>
    <row r="17" spans="2:15" ht="24" customHeight="1" thickBot="1">
      <c r="B17" s="21" t="s">
        <v>95</v>
      </c>
      <c r="C17" s="53">
        <v>303</v>
      </c>
      <c r="D17" s="53">
        <v>70</v>
      </c>
      <c r="E17" s="53">
        <v>69</v>
      </c>
      <c r="F17" s="53">
        <v>59</v>
      </c>
      <c r="G17" s="53">
        <v>62</v>
      </c>
      <c r="H17" s="53">
        <v>61</v>
      </c>
      <c r="I17" s="53">
        <v>68</v>
      </c>
      <c r="J17" s="53">
        <v>73</v>
      </c>
      <c r="K17" s="53">
        <v>44</v>
      </c>
      <c r="L17" s="53">
        <v>51</v>
      </c>
      <c r="M17" s="53">
        <v>45</v>
      </c>
      <c r="N17" s="53">
        <v>43</v>
      </c>
      <c r="O17" s="28">
        <f>SUM(C17:N17)</f>
        <v>948</v>
      </c>
    </row>
    <row r="18" spans="2:15" ht="24" customHeight="1" thickBot="1">
      <c r="B18" s="21" t="s">
        <v>96</v>
      </c>
      <c r="C18" s="53">
        <v>3059</v>
      </c>
      <c r="D18" s="53">
        <v>2480</v>
      </c>
      <c r="E18" s="53">
        <v>2407</v>
      </c>
      <c r="F18" s="53">
        <v>2583</v>
      </c>
      <c r="G18" s="53">
        <v>2389</v>
      </c>
      <c r="H18" s="53">
        <v>2854</v>
      </c>
      <c r="I18" s="53">
        <v>2539</v>
      </c>
      <c r="J18" s="53">
        <v>2905</v>
      </c>
      <c r="K18" s="53">
        <v>1915</v>
      </c>
      <c r="L18" s="53">
        <v>1657</v>
      </c>
      <c r="M18" s="53">
        <v>1567</v>
      </c>
      <c r="N18" s="53">
        <v>1183</v>
      </c>
      <c r="O18" s="28">
        <f>SUM(C18:N18)</f>
        <v>27538</v>
      </c>
    </row>
    <row r="19" spans="2:15" ht="24" customHeight="1" thickBot="1">
      <c r="B19" s="21" t="s">
        <v>97</v>
      </c>
      <c r="C19" s="53">
        <v>1</v>
      </c>
      <c r="D19" s="53">
        <v>1</v>
      </c>
      <c r="E19" s="53">
        <v>0</v>
      </c>
      <c r="F19" s="53">
        <v>0</v>
      </c>
      <c r="G19" s="53">
        <v>0</v>
      </c>
      <c r="H19" s="53">
        <v>1</v>
      </c>
      <c r="I19" s="53">
        <v>0</v>
      </c>
      <c r="J19" s="53">
        <v>1</v>
      </c>
      <c r="K19" s="53">
        <v>2</v>
      </c>
      <c r="L19" s="53">
        <v>1</v>
      </c>
      <c r="M19" s="53">
        <v>0</v>
      </c>
      <c r="N19" s="53">
        <v>1</v>
      </c>
      <c r="O19" s="28">
        <f>SUM(C19:N19)</f>
        <v>8</v>
      </c>
    </row>
    <row r="20" spans="2:15" ht="24" customHeight="1" thickBot="1">
      <c r="B20" s="23" t="s">
        <v>98</v>
      </c>
      <c r="C20" s="24">
        <f aca="true" t="shared" si="1" ref="C20:N20">SUM(C17:C19)</f>
        <v>3363</v>
      </c>
      <c r="D20" s="24">
        <f t="shared" si="1"/>
        <v>2551</v>
      </c>
      <c r="E20" s="24">
        <f t="shared" si="1"/>
        <v>2476</v>
      </c>
      <c r="F20" s="24">
        <f t="shared" si="1"/>
        <v>2642</v>
      </c>
      <c r="G20" s="24">
        <f t="shared" si="1"/>
        <v>2451</v>
      </c>
      <c r="H20" s="24">
        <f t="shared" si="1"/>
        <v>2916</v>
      </c>
      <c r="I20" s="24">
        <f t="shared" si="1"/>
        <v>2607</v>
      </c>
      <c r="J20" s="24">
        <f t="shared" si="1"/>
        <v>2979</v>
      </c>
      <c r="K20" s="24">
        <f t="shared" si="1"/>
        <v>1961</v>
      </c>
      <c r="L20" s="24">
        <f t="shared" si="1"/>
        <v>1709</v>
      </c>
      <c r="M20" s="24">
        <f t="shared" si="1"/>
        <v>1612</v>
      </c>
      <c r="N20" s="24">
        <f t="shared" si="1"/>
        <v>1227</v>
      </c>
      <c r="O20" s="28">
        <f>SUM(C20:N20)</f>
        <v>28494</v>
      </c>
    </row>
    <row r="24" spans="2:15" ht="16.5" customHeight="1">
      <c r="B24" s="18" t="s">
        <v>472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2:15" ht="16.5" customHeigh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4" ht="12.75" customHeight="1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5" ht="18.75" customHeight="1">
      <c r="B27" s="18" t="s">
        <v>99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2:14" ht="13.5" thickBo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5" ht="23.25" customHeight="1" thickBot="1">
      <c r="B29" s="244"/>
      <c r="C29" s="14" t="s">
        <v>94</v>
      </c>
      <c r="D29" s="42" t="s">
        <v>447</v>
      </c>
      <c r="E29" s="42" t="s">
        <v>449</v>
      </c>
      <c r="F29" s="42" t="s">
        <v>452</v>
      </c>
      <c r="G29" s="42" t="s">
        <v>469</v>
      </c>
      <c r="H29" s="42" t="s">
        <v>477</v>
      </c>
      <c r="I29" s="42" t="s">
        <v>483</v>
      </c>
      <c r="J29" s="42" t="s">
        <v>485</v>
      </c>
      <c r="K29" s="42" t="s">
        <v>486</v>
      </c>
      <c r="L29" s="42" t="s">
        <v>489</v>
      </c>
      <c r="M29" s="42" t="s">
        <v>528</v>
      </c>
      <c r="N29" s="42" t="s">
        <v>530</v>
      </c>
      <c r="O29" s="42" t="s">
        <v>471</v>
      </c>
    </row>
    <row r="30" spans="2:15" ht="24" customHeight="1" thickBot="1">
      <c r="B30" s="21" t="s">
        <v>95</v>
      </c>
      <c r="C30" s="53">
        <v>766</v>
      </c>
      <c r="D30" s="53">
        <v>798</v>
      </c>
      <c r="E30" s="53">
        <v>799</v>
      </c>
      <c r="F30" s="53">
        <v>741</v>
      </c>
      <c r="G30" s="53">
        <v>972</v>
      </c>
      <c r="H30" s="53">
        <v>984</v>
      </c>
      <c r="I30" s="53">
        <v>1050</v>
      </c>
      <c r="J30" s="53">
        <v>1124</v>
      </c>
      <c r="K30" s="53">
        <v>769</v>
      </c>
      <c r="L30" s="53">
        <v>699</v>
      </c>
      <c r="M30" s="53">
        <v>675</v>
      </c>
      <c r="N30" s="53">
        <v>702</v>
      </c>
      <c r="O30" s="28">
        <f>SUM(C30:N30)</f>
        <v>10079</v>
      </c>
    </row>
    <row r="31" spans="2:15" ht="24" customHeight="1" thickBot="1">
      <c r="B31" s="21" t="s">
        <v>96</v>
      </c>
      <c r="C31" s="53">
        <v>6683</v>
      </c>
      <c r="D31" s="53">
        <v>7612</v>
      </c>
      <c r="E31" s="53">
        <v>8014</v>
      </c>
      <c r="F31" s="53">
        <v>8445</v>
      </c>
      <c r="G31" s="53">
        <v>10159</v>
      </c>
      <c r="H31" s="53">
        <v>12204</v>
      </c>
      <c r="I31" s="53">
        <v>11998</v>
      </c>
      <c r="J31" s="53">
        <v>11739</v>
      </c>
      <c r="K31" s="53">
        <v>9005</v>
      </c>
      <c r="L31" s="53">
        <v>7639</v>
      </c>
      <c r="M31" s="53">
        <v>7690</v>
      </c>
      <c r="N31" s="53">
        <v>7320</v>
      </c>
      <c r="O31" s="28">
        <f>SUM(C31:N31)</f>
        <v>108508</v>
      </c>
    </row>
    <row r="32" spans="2:15" ht="24" customHeight="1" thickBot="1">
      <c r="B32" s="21" t="s">
        <v>97</v>
      </c>
      <c r="C32" s="53">
        <v>14</v>
      </c>
      <c r="D32" s="53">
        <v>9</v>
      </c>
      <c r="E32" s="53">
        <v>10</v>
      </c>
      <c r="F32" s="53">
        <v>15</v>
      </c>
      <c r="G32" s="53">
        <v>17</v>
      </c>
      <c r="H32" s="53">
        <v>19</v>
      </c>
      <c r="I32" s="53">
        <v>18</v>
      </c>
      <c r="J32" s="53">
        <v>18</v>
      </c>
      <c r="K32" s="53">
        <v>18</v>
      </c>
      <c r="L32" s="53">
        <v>5</v>
      </c>
      <c r="M32" s="53">
        <v>14</v>
      </c>
      <c r="N32" s="53">
        <v>22</v>
      </c>
      <c r="O32" s="28">
        <f>SUM(C32:N32)</f>
        <v>179</v>
      </c>
    </row>
    <row r="33" spans="2:15" ht="24" customHeight="1" thickBot="1">
      <c r="B33" s="23" t="s">
        <v>98</v>
      </c>
      <c r="C33" s="24">
        <f aca="true" t="shared" si="2" ref="C33:N33">SUM(C30:C32)</f>
        <v>7463</v>
      </c>
      <c r="D33" s="24">
        <f t="shared" si="2"/>
        <v>8419</v>
      </c>
      <c r="E33" s="24">
        <f t="shared" si="2"/>
        <v>8823</v>
      </c>
      <c r="F33" s="24">
        <f t="shared" si="2"/>
        <v>9201</v>
      </c>
      <c r="G33" s="24">
        <f t="shared" si="2"/>
        <v>11148</v>
      </c>
      <c r="H33" s="24">
        <f t="shared" si="2"/>
        <v>13207</v>
      </c>
      <c r="I33" s="24">
        <f t="shared" si="2"/>
        <v>13066</v>
      </c>
      <c r="J33" s="24">
        <f t="shared" si="2"/>
        <v>12881</v>
      </c>
      <c r="K33" s="24">
        <f t="shared" si="2"/>
        <v>9792</v>
      </c>
      <c r="L33" s="24">
        <f t="shared" si="2"/>
        <v>8343</v>
      </c>
      <c r="M33" s="24">
        <f t="shared" si="2"/>
        <v>8379</v>
      </c>
      <c r="N33" s="24">
        <f t="shared" si="2"/>
        <v>8044</v>
      </c>
      <c r="O33" s="28">
        <f>SUM(C33:N33)</f>
        <v>118766</v>
      </c>
    </row>
    <row r="36" spans="2:15" ht="15.75" customHeight="1">
      <c r="B36" s="18" t="s">
        <v>100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4" ht="13.5" thickBo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5" ht="25.5" customHeight="1" thickBot="1">
      <c r="B38" s="244"/>
      <c r="C38" s="14" t="s">
        <v>94</v>
      </c>
      <c r="D38" s="42" t="s">
        <v>447</v>
      </c>
      <c r="E38" s="42" t="s">
        <v>449</v>
      </c>
      <c r="F38" s="42" t="s">
        <v>452</v>
      </c>
      <c r="G38" s="42" t="s">
        <v>469</v>
      </c>
      <c r="H38" s="42" t="s">
        <v>477</v>
      </c>
      <c r="I38" s="42" t="s">
        <v>483</v>
      </c>
      <c r="J38" s="42" t="s">
        <v>485</v>
      </c>
      <c r="K38" s="42" t="s">
        <v>486</v>
      </c>
      <c r="L38" s="42" t="s">
        <v>489</v>
      </c>
      <c r="M38" s="42" t="s">
        <v>528</v>
      </c>
      <c r="N38" s="42" t="s">
        <v>530</v>
      </c>
      <c r="O38" s="42" t="s">
        <v>471</v>
      </c>
    </row>
    <row r="39" spans="2:15" ht="24" customHeight="1" thickBot="1">
      <c r="B39" s="21" t="s">
        <v>95</v>
      </c>
      <c r="C39" s="53">
        <v>83</v>
      </c>
      <c r="D39" s="53">
        <v>88</v>
      </c>
      <c r="E39" s="53">
        <v>91</v>
      </c>
      <c r="F39" s="53">
        <v>91</v>
      </c>
      <c r="G39" s="53">
        <v>112</v>
      </c>
      <c r="H39" s="53">
        <v>141</v>
      </c>
      <c r="I39" s="53">
        <v>153</v>
      </c>
      <c r="J39" s="53">
        <v>168</v>
      </c>
      <c r="K39" s="53">
        <v>79</v>
      </c>
      <c r="L39" s="53">
        <v>64</v>
      </c>
      <c r="M39" s="53">
        <v>67</v>
      </c>
      <c r="N39" s="53">
        <v>104</v>
      </c>
      <c r="O39" s="28">
        <f>SUM(C39:N39)</f>
        <v>1241</v>
      </c>
    </row>
    <row r="40" spans="2:15" ht="24" customHeight="1" thickBot="1">
      <c r="B40" s="21" t="s">
        <v>96</v>
      </c>
      <c r="C40" s="53">
        <v>2055</v>
      </c>
      <c r="D40" s="53">
        <v>2212</v>
      </c>
      <c r="E40" s="53">
        <v>2171</v>
      </c>
      <c r="F40" s="53">
        <v>2144</v>
      </c>
      <c r="G40" s="53">
        <v>2428</v>
      </c>
      <c r="H40" s="53">
        <v>2759</v>
      </c>
      <c r="I40" s="53">
        <v>2528</v>
      </c>
      <c r="J40" s="53">
        <v>2622</v>
      </c>
      <c r="K40" s="53">
        <v>1571</v>
      </c>
      <c r="L40" s="53">
        <v>1298</v>
      </c>
      <c r="M40" s="53">
        <v>1309</v>
      </c>
      <c r="N40" s="53">
        <v>1133</v>
      </c>
      <c r="O40" s="28">
        <f>SUM(C40:N40)</f>
        <v>24230</v>
      </c>
    </row>
    <row r="41" spans="2:15" ht="24" customHeight="1" thickBot="1">
      <c r="B41" s="21" t="s">
        <v>97</v>
      </c>
      <c r="C41" s="53">
        <v>7</v>
      </c>
      <c r="D41" s="53">
        <v>1</v>
      </c>
      <c r="E41" s="53">
        <v>2</v>
      </c>
      <c r="F41" s="53">
        <v>4</v>
      </c>
      <c r="G41" s="53">
        <v>8</v>
      </c>
      <c r="H41" s="53">
        <v>1</v>
      </c>
      <c r="I41" s="53">
        <v>7</v>
      </c>
      <c r="J41" s="53">
        <v>5</v>
      </c>
      <c r="K41" s="53">
        <v>4</v>
      </c>
      <c r="L41" s="53">
        <v>6</v>
      </c>
      <c r="M41" s="53">
        <v>2</v>
      </c>
      <c r="N41" s="53">
        <v>3</v>
      </c>
      <c r="O41" s="28">
        <f>SUM(C41:N41)</f>
        <v>50</v>
      </c>
    </row>
    <row r="42" spans="2:15" ht="24" customHeight="1" thickBot="1">
      <c r="B42" s="23" t="s">
        <v>98</v>
      </c>
      <c r="C42" s="24">
        <f aca="true" t="shared" si="3" ref="C42:N42">SUM(C39:C41)</f>
        <v>2145</v>
      </c>
      <c r="D42" s="24">
        <f t="shared" si="3"/>
        <v>2301</v>
      </c>
      <c r="E42" s="24">
        <f t="shared" si="3"/>
        <v>2264</v>
      </c>
      <c r="F42" s="24">
        <f t="shared" si="3"/>
        <v>2239</v>
      </c>
      <c r="G42" s="24">
        <f t="shared" si="3"/>
        <v>2548</v>
      </c>
      <c r="H42" s="24">
        <f t="shared" si="3"/>
        <v>2901</v>
      </c>
      <c r="I42" s="24">
        <f t="shared" si="3"/>
        <v>2688</v>
      </c>
      <c r="J42" s="24">
        <f t="shared" si="3"/>
        <v>2795</v>
      </c>
      <c r="K42" s="24">
        <f t="shared" si="3"/>
        <v>1654</v>
      </c>
      <c r="L42" s="24">
        <f t="shared" si="3"/>
        <v>1368</v>
      </c>
      <c r="M42" s="24">
        <f t="shared" si="3"/>
        <v>1378</v>
      </c>
      <c r="N42" s="24">
        <f t="shared" si="3"/>
        <v>1240</v>
      </c>
      <c r="O42" s="28">
        <f>SUM(C42:N42)</f>
        <v>25521</v>
      </c>
    </row>
    <row r="49" spans="2:14" ht="21.75" customHeight="1">
      <c r="B49" s="18" t="s">
        <v>473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5" ht="15.75">
      <c r="B52" s="18" t="s">
        <v>99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2:14" ht="13.5" thickBo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5" ht="23.25" customHeight="1" thickBot="1">
      <c r="B54" s="244"/>
      <c r="C54" s="14" t="s">
        <v>94</v>
      </c>
      <c r="D54" s="42" t="s">
        <v>447</v>
      </c>
      <c r="E54" s="42" t="s">
        <v>449</v>
      </c>
      <c r="F54" s="42" t="s">
        <v>452</v>
      </c>
      <c r="G54" s="42" t="s">
        <v>469</v>
      </c>
      <c r="H54" s="42" t="s">
        <v>477</v>
      </c>
      <c r="I54" s="42" t="s">
        <v>483</v>
      </c>
      <c r="J54" s="42" t="s">
        <v>485</v>
      </c>
      <c r="K54" s="42" t="s">
        <v>486</v>
      </c>
      <c r="L54" s="42" t="s">
        <v>489</v>
      </c>
      <c r="M54" s="42" t="s">
        <v>528</v>
      </c>
      <c r="N54" s="42" t="s">
        <v>530</v>
      </c>
      <c r="O54" s="42" t="s">
        <v>471</v>
      </c>
    </row>
    <row r="55" spans="2:15" ht="24" customHeight="1" thickBot="1">
      <c r="B55" s="21" t="s">
        <v>95</v>
      </c>
      <c r="C55" s="53">
        <v>3898</v>
      </c>
      <c r="D55" s="53">
        <v>4285</v>
      </c>
      <c r="E55" s="53">
        <v>3868</v>
      </c>
      <c r="F55" s="53">
        <f>F30+F8</f>
        <v>3858</v>
      </c>
      <c r="G55" s="53">
        <v>4296</v>
      </c>
      <c r="H55" s="53">
        <v>4340</v>
      </c>
      <c r="I55" s="53">
        <v>4434</v>
      </c>
      <c r="J55" s="53">
        <v>5419</v>
      </c>
      <c r="K55" s="53">
        <v>3813</v>
      </c>
      <c r="L55" s="53">
        <v>3008</v>
      </c>
      <c r="M55" s="53">
        <v>3077</v>
      </c>
      <c r="N55" s="53">
        <v>2997</v>
      </c>
      <c r="O55" s="28">
        <f>SUM(C55:N55)</f>
        <v>47293</v>
      </c>
    </row>
    <row r="56" spans="2:15" ht="24" customHeight="1" thickBot="1">
      <c r="B56" s="21" t="s">
        <v>96</v>
      </c>
      <c r="C56" s="53">
        <v>91606</v>
      </c>
      <c r="D56" s="53">
        <v>79354</v>
      </c>
      <c r="E56" s="53">
        <v>84665</v>
      </c>
      <c r="F56" s="53">
        <f>F31+F9</f>
        <v>109615</v>
      </c>
      <c r="G56" s="53">
        <v>108698</v>
      </c>
      <c r="H56" s="53">
        <v>125533</v>
      </c>
      <c r="I56" s="53">
        <v>112659</v>
      </c>
      <c r="J56" s="53">
        <v>128164</v>
      </c>
      <c r="K56" s="53">
        <v>92925</v>
      </c>
      <c r="L56" s="53">
        <v>79839</v>
      </c>
      <c r="M56" s="53">
        <v>74872</v>
      </c>
      <c r="N56" s="53">
        <v>61203</v>
      </c>
      <c r="O56" s="28">
        <f>SUM(C56:N56)</f>
        <v>1149133</v>
      </c>
    </row>
    <row r="57" spans="2:15" ht="24" customHeight="1" thickBot="1">
      <c r="B57" s="23" t="s">
        <v>97</v>
      </c>
      <c r="C57" s="53">
        <v>52</v>
      </c>
      <c r="D57" s="53">
        <v>48</v>
      </c>
      <c r="E57" s="53">
        <v>50</v>
      </c>
      <c r="F57" s="53">
        <f>F32+F10</f>
        <v>55</v>
      </c>
      <c r="G57" s="53">
        <v>55</v>
      </c>
      <c r="H57" s="53">
        <v>49</v>
      </c>
      <c r="I57" s="53">
        <v>62</v>
      </c>
      <c r="J57" s="53">
        <v>63</v>
      </c>
      <c r="K57" s="53">
        <v>60</v>
      </c>
      <c r="L57" s="53">
        <v>26</v>
      </c>
      <c r="M57" s="53">
        <v>49</v>
      </c>
      <c r="N57" s="53">
        <v>44</v>
      </c>
      <c r="O57" s="28">
        <f>SUM(C57:N57)</f>
        <v>613</v>
      </c>
    </row>
    <row r="58" spans="2:15" ht="24" customHeight="1" thickBot="1">
      <c r="B58" s="23" t="s">
        <v>98</v>
      </c>
      <c r="C58" s="24">
        <f aca="true" t="shared" si="4" ref="C58:N58">SUM(C55:C57)</f>
        <v>95556</v>
      </c>
      <c r="D58" s="24">
        <f t="shared" si="4"/>
        <v>83687</v>
      </c>
      <c r="E58" s="24">
        <f t="shared" si="4"/>
        <v>88583</v>
      </c>
      <c r="F58" s="24">
        <f t="shared" si="4"/>
        <v>113528</v>
      </c>
      <c r="G58" s="24">
        <f t="shared" si="4"/>
        <v>113049</v>
      </c>
      <c r="H58" s="24">
        <f t="shared" si="4"/>
        <v>129922</v>
      </c>
      <c r="I58" s="24">
        <f t="shared" si="4"/>
        <v>117155</v>
      </c>
      <c r="J58" s="24">
        <f t="shared" si="4"/>
        <v>133646</v>
      </c>
      <c r="K58" s="24">
        <f t="shared" si="4"/>
        <v>96798</v>
      </c>
      <c r="L58" s="24">
        <f t="shared" si="4"/>
        <v>82873</v>
      </c>
      <c r="M58" s="24">
        <f t="shared" si="4"/>
        <v>77998</v>
      </c>
      <c r="N58" s="24">
        <f t="shared" si="4"/>
        <v>64244</v>
      </c>
      <c r="O58" s="28">
        <f>SUM(C58:N58)</f>
        <v>1197039</v>
      </c>
    </row>
    <row r="61" spans="2:14" ht="15.75">
      <c r="B61" s="356"/>
      <c r="C61" s="356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2:15" ht="15.75">
      <c r="B62" s="18" t="s">
        <v>100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2:14" ht="13.5" thickBo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5" ht="25.5" customHeight="1" thickBot="1">
      <c r="B64" s="244"/>
      <c r="C64" s="14" t="s">
        <v>94</v>
      </c>
      <c r="D64" s="42" t="s">
        <v>447</v>
      </c>
      <c r="E64" s="42" t="s">
        <v>449</v>
      </c>
      <c r="F64" s="42" t="s">
        <v>452</v>
      </c>
      <c r="G64" s="42" t="s">
        <v>469</v>
      </c>
      <c r="H64" s="42" t="s">
        <v>477</v>
      </c>
      <c r="I64" s="42" t="s">
        <v>483</v>
      </c>
      <c r="J64" s="42" t="s">
        <v>485</v>
      </c>
      <c r="K64" s="42" t="s">
        <v>486</v>
      </c>
      <c r="L64" s="42" t="s">
        <v>489</v>
      </c>
      <c r="M64" s="42" t="s">
        <v>528</v>
      </c>
      <c r="N64" s="42" t="s">
        <v>530</v>
      </c>
      <c r="O64" s="42" t="s">
        <v>471</v>
      </c>
    </row>
    <row r="65" spans="2:15" ht="24" customHeight="1" thickBot="1">
      <c r="B65" s="21" t="s">
        <v>95</v>
      </c>
      <c r="C65" s="53">
        <v>386</v>
      </c>
      <c r="D65" s="53">
        <v>158</v>
      </c>
      <c r="E65" s="53">
        <v>160</v>
      </c>
      <c r="F65" s="53">
        <f>F39+F17</f>
        <v>150</v>
      </c>
      <c r="G65" s="53">
        <v>174</v>
      </c>
      <c r="H65" s="53">
        <v>202</v>
      </c>
      <c r="I65" s="53">
        <v>221</v>
      </c>
      <c r="J65" s="53">
        <v>241</v>
      </c>
      <c r="K65" s="53">
        <v>123</v>
      </c>
      <c r="L65" s="53">
        <v>115</v>
      </c>
      <c r="M65" s="53">
        <v>112</v>
      </c>
      <c r="N65" s="53">
        <v>147</v>
      </c>
      <c r="O65" s="28">
        <f>SUM(C65:N65)</f>
        <v>2189</v>
      </c>
    </row>
    <row r="66" spans="2:15" ht="24" customHeight="1" thickBot="1">
      <c r="B66" s="21" t="s">
        <v>96</v>
      </c>
      <c r="C66" s="53">
        <v>5114</v>
      </c>
      <c r="D66" s="53">
        <v>4692</v>
      </c>
      <c r="E66" s="53">
        <v>4578</v>
      </c>
      <c r="F66" s="53">
        <f>F40+F18</f>
        <v>4727</v>
      </c>
      <c r="G66" s="53">
        <v>4817</v>
      </c>
      <c r="H66" s="53">
        <v>5613</v>
      </c>
      <c r="I66" s="53">
        <v>5067</v>
      </c>
      <c r="J66" s="53">
        <v>5527</v>
      </c>
      <c r="K66" s="53">
        <v>3486</v>
      </c>
      <c r="L66" s="53">
        <v>2955</v>
      </c>
      <c r="M66" s="53">
        <v>2876</v>
      </c>
      <c r="N66" s="53">
        <v>2316</v>
      </c>
      <c r="O66" s="28">
        <f>SUM(C66:N66)</f>
        <v>51768</v>
      </c>
    </row>
    <row r="67" spans="2:15" ht="24" customHeight="1" thickBot="1">
      <c r="B67" s="23" t="s">
        <v>97</v>
      </c>
      <c r="C67" s="53">
        <v>8</v>
      </c>
      <c r="D67" s="53">
        <v>2</v>
      </c>
      <c r="E67" s="53">
        <v>2</v>
      </c>
      <c r="F67" s="53">
        <f>F41+F19</f>
        <v>4</v>
      </c>
      <c r="G67" s="53">
        <v>8</v>
      </c>
      <c r="H67" s="53">
        <v>2</v>
      </c>
      <c r="I67" s="53">
        <v>7</v>
      </c>
      <c r="J67" s="53">
        <v>6</v>
      </c>
      <c r="K67" s="53">
        <v>6</v>
      </c>
      <c r="L67" s="53">
        <v>7</v>
      </c>
      <c r="M67" s="53">
        <v>2</v>
      </c>
      <c r="N67" s="53">
        <v>4</v>
      </c>
      <c r="O67" s="28">
        <f>SUM(C67:N67)</f>
        <v>58</v>
      </c>
    </row>
    <row r="68" spans="2:15" ht="24" customHeight="1" thickBot="1">
      <c r="B68" s="23" t="s">
        <v>98</v>
      </c>
      <c r="C68" s="24">
        <f aca="true" t="shared" si="5" ref="C68:N68">SUM(C65:C67)</f>
        <v>5508</v>
      </c>
      <c r="D68" s="24">
        <f t="shared" si="5"/>
        <v>4852</v>
      </c>
      <c r="E68" s="24">
        <f t="shared" si="5"/>
        <v>4740</v>
      </c>
      <c r="F68" s="24">
        <f t="shared" si="5"/>
        <v>4881</v>
      </c>
      <c r="G68" s="24">
        <f t="shared" si="5"/>
        <v>4999</v>
      </c>
      <c r="H68" s="24">
        <f t="shared" si="5"/>
        <v>5817</v>
      </c>
      <c r="I68" s="24">
        <f t="shared" si="5"/>
        <v>5295</v>
      </c>
      <c r="J68" s="24">
        <f t="shared" si="5"/>
        <v>5774</v>
      </c>
      <c r="K68" s="24">
        <f t="shared" si="5"/>
        <v>3615</v>
      </c>
      <c r="L68" s="24">
        <f t="shared" si="5"/>
        <v>3077</v>
      </c>
      <c r="M68" s="24">
        <f t="shared" si="5"/>
        <v>2990</v>
      </c>
      <c r="N68" s="24">
        <f t="shared" si="5"/>
        <v>2467</v>
      </c>
      <c r="O68" s="28">
        <f>SUM(C68:N68)</f>
        <v>54015</v>
      </c>
    </row>
    <row r="69" spans="2:14" ht="13.5" customHeight="1">
      <c r="B69" s="356"/>
      <c r="C69" s="356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1" spans="2:15" ht="12.75">
      <c r="B71" s="19" t="s">
        <v>103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2:15" ht="12.7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ht="12.75">
      <c r="B73" s="11"/>
    </row>
  </sheetData>
  <sheetProtection/>
  <mergeCells count="2">
    <mergeCell ref="B69:C69"/>
    <mergeCell ref="B61:C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21" customWidth="1"/>
    <col min="2" max="2" width="43.57421875" style="121" customWidth="1"/>
    <col min="3" max="9" width="16.7109375" style="121" customWidth="1"/>
    <col min="10" max="10" width="15.140625" style="121" customWidth="1"/>
    <col min="11" max="11" width="15.7109375" style="121" customWidth="1"/>
    <col min="12" max="12" width="14.7109375" style="121" customWidth="1"/>
    <col min="13" max="13" width="14.8515625" style="121" customWidth="1"/>
    <col min="14" max="14" width="14.28125" style="121" customWidth="1"/>
    <col min="15" max="15" width="11.57421875" style="121" bestFit="1" customWidth="1"/>
    <col min="16" max="17" width="10.140625" style="121" customWidth="1"/>
    <col min="18" max="18" width="10.28125" style="121" customWidth="1"/>
    <col min="19" max="19" width="14.421875" style="121" customWidth="1"/>
    <col min="20" max="20" width="12.421875" style="121" customWidth="1"/>
    <col min="21" max="21" width="9.8515625" style="121" customWidth="1"/>
    <col min="22" max="22" width="13.7109375" style="121" bestFit="1" customWidth="1"/>
    <col min="23" max="16384" width="9.140625" style="121" customWidth="1"/>
  </cols>
  <sheetData>
    <row r="2" spans="2:13" ht="12.75">
      <c r="B2" s="119" t="s">
        <v>466</v>
      </c>
      <c r="C2" s="119"/>
      <c r="D2" s="119"/>
      <c r="E2" s="120"/>
      <c r="F2" s="120"/>
      <c r="G2" s="120"/>
      <c r="H2" s="120"/>
      <c r="I2" s="120"/>
      <c r="J2" s="120"/>
      <c r="K2" s="120"/>
      <c r="L2" s="120"/>
      <c r="M2" s="120"/>
    </row>
    <row r="3" ht="13.5" thickBot="1">
      <c r="H3" s="120"/>
    </row>
    <row r="4" spans="2:8" ht="45.75" customHeight="1" thickBot="1">
      <c r="B4" s="198" t="s">
        <v>28</v>
      </c>
      <c r="C4" s="205" t="s">
        <v>453</v>
      </c>
      <c r="D4" s="206" t="s">
        <v>524</v>
      </c>
      <c r="E4" s="206" t="s">
        <v>454</v>
      </c>
      <c r="F4" s="206" t="s">
        <v>523</v>
      </c>
      <c r="G4" s="284" t="s">
        <v>525</v>
      </c>
      <c r="H4" s="207" t="s">
        <v>531</v>
      </c>
    </row>
    <row r="5" spans="2:8" ht="15" customHeight="1">
      <c r="B5" s="306" t="s">
        <v>495</v>
      </c>
      <c r="C5" s="210">
        <v>206</v>
      </c>
      <c r="D5" s="125">
        <v>371</v>
      </c>
      <c r="E5" s="125">
        <v>984</v>
      </c>
      <c r="F5" s="125">
        <v>2248</v>
      </c>
      <c r="G5" s="202">
        <v>4501</v>
      </c>
      <c r="H5" s="286">
        <v>6501</v>
      </c>
    </row>
    <row r="6" spans="2:8" ht="15" customHeight="1">
      <c r="B6" s="212" t="s">
        <v>497</v>
      </c>
      <c r="C6" s="211">
        <v>602</v>
      </c>
      <c r="D6" s="124">
        <v>1110</v>
      </c>
      <c r="E6" s="124">
        <v>1976</v>
      </c>
      <c r="F6" s="124">
        <v>2972</v>
      </c>
      <c r="G6" s="201">
        <v>2939</v>
      </c>
      <c r="H6" s="287">
        <v>2959</v>
      </c>
    </row>
    <row r="7" spans="2:8" ht="15" customHeight="1">
      <c r="B7" s="212" t="s">
        <v>496</v>
      </c>
      <c r="C7" s="211">
        <v>644</v>
      </c>
      <c r="D7" s="124">
        <v>1723</v>
      </c>
      <c r="E7" s="124">
        <v>3525</v>
      </c>
      <c r="F7" s="124">
        <v>4250</v>
      </c>
      <c r="G7" s="201">
        <v>3892</v>
      </c>
      <c r="H7" s="287">
        <v>3442</v>
      </c>
    </row>
    <row r="8" spans="2:8" ht="15" customHeight="1">
      <c r="B8" s="212" t="s">
        <v>498</v>
      </c>
      <c r="C8" s="211">
        <v>1221</v>
      </c>
      <c r="D8" s="124">
        <v>3601</v>
      </c>
      <c r="E8" s="124">
        <v>8000</v>
      </c>
      <c r="F8" s="124">
        <v>12246</v>
      </c>
      <c r="G8" s="201">
        <v>16863</v>
      </c>
      <c r="H8" s="287">
        <v>17793</v>
      </c>
    </row>
    <row r="9" spans="2:8" ht="15" customHeight="1">
      <c r="B9" s="212" t="s">
        <v>499</v>
      </c>
      <c r="C9" s="211">
        <v>540</v>
      </c>
      <c r="D9" s="124">
        <v>1064</v>
      </c>
      <c r="E9" s="124">
        <v>3773</v>
      </c>
      <c r="F9" s="124">
        <v>5389</v>
      </c>
      <c r="G9" s="201">
        <v>5339</v>
      </c>
      <c r="H9" s="287">
        <v>4795</v>
      </c>
    </row>
    <row r="10" spans="2:8" ht="15" customHeight="1">
      <c r="B10" s="212" t="s">
        <v>500</v>
      </c>
      <c r="C10" s="211">
        <v>657</v>
      </c>
      <c r="D10" s="124">
        <v>1255</v>
      </c>
      <c r="E10" s="124">
        <v>4173</v>
      </c>
      <c r="F10" s="124">
        <v>7077</v>
      </c>
      <c r="G10" s="201">
        <v>8844</v>
      </c>
      <c r="H10" s="287">
        <v>8482</v>
      </c>
    </row>
    <row r="11" spans="2:8" ht="15" customHeight="1">
      <c r="B11" s="212" t="s">
        <v>501</v>
      </c>
      <c r="C11" s="211">
        <v>828</v>
      </c>
      <c r="D11" s="124">
        <v>1986</v>
      </c>
      <c r="E11" s="124">
        <v>5028</v>
      </c>
      <c r="F11" s="124">
        <v>8291</v>
      </c>
      <c r="G11" s="201">
        <v>10534</v>
      </c>
      <c r="H11" s="287">
        <v>9734</v>
      </c>
    </row>
    <row r="12" spans="2:8" ht="15" customHeight="1">
      <c r="B12" s="212" t="s">
        <v>527</v>
      </c>
      <c r="C12" s="211">
        <v>1482</v>
      </c>
      <c r="D12" s="124">
        <v>4203</v>
      </c>
      <c r="E12" s="124">
        <v>8501</v>
      </c>
      <c r="F12" s="124">
        <v>13952</v>
      </c>
      <c r="G12" s="201">
        <v>18335</v>
      </c>
      <c r="H12" s="287">
        <v>17785</v>
      </c>
    </row>
    <row r="13" spans="2:8" ht="15" customHeight="1">
      <c r="B13" s="209" t="s">
        <v>502</v>
      </c>
      <c r="C13" s="211">
        <v>53</v>
      </c>
      <c r="D13" s="124">
        <v>116</v>
      </c>
      <c r="E13" s="124">
        <v>642</v>
      </c>
      <c r="F13" s="124">
        <v>1421</v>
      </c>
      <c r="G13" s="201">
        <v>2254</v>
      </c>
      <c r="H13" s="287">
        <v>2469</v>
      </c>
    </row>
    <row r="14" spans="2:8" ht="15" customHeight="1">
      <c r="B14" s="209" t="s">
        <v>503</v>
      </c>
      <c r="C14" s="211">
        <v>611</v>
      </c>
      <c r="D14" s="124">
        <v>1487</v>
      </c>
      <c r="E14" s="124">
        <v>2777</v>
      </c>
      <c r="F14" s="124">
        <v>5248</v>
      </c>
      <c r="G14" s="201">
        <v>8433</v>
      </c>
      <c r="H14" s="287">
        <v>10343</v>
      </c>
    </row>
    <row r="15" spans="2:8" ht="15" customHeight="1">
      <c r="B15" s="209" t="s">
        <v>504</v>
      </c>
      <c r="C15" s="211">
        <v>474</v>
      </c>
      <c r="D15" s="124">
        <v>940</v>
      </c>
      <c r="E15" s="124">
        <v>2130</v>
      </c>
      <c r="F15" s="124">
        <v>3529</v>
      </c>
      <c r="G15" s="201">
        <v>4584</v>
      </c>
      <c r="H15" s="287">
        <v>4648</v>
      </c>
    </row>
    <row r="16" spans="2:8" ht="15" customHeight="1">
      <c r="B16" s="212" t="s">
        <v>505</v>
      </c>
      <c r="C16" s="211">
        <v>740</v>
      </c>
      <c r="D16" s="124">
        <v>1778</v>
      </c>
      <c r="E16" s="124">
        <v>5301</v>
      </c>
      <c r="F16" s="124">
        <v>8527</v>
      </c>
      <c r="G16" s="201">
        <v>10310</v>
      </c>
      <c r="H16" s="287">
        <v>11093</v>
      </c>
    </row>
    <row r="17" spans="2:8" ht="15" customHeight="1">
      <c r="B17" s="212" t="s">
        <v>506</v>
      </c>
      <c r="C17" s="211">
        <v>396</v>
      </c>
      <c r="D17" s="124">
        <v>937</v>
      </c>
      <c r="E17" s="124">
        <v>3385</v>
      </c>
      <c r="F17" s="124">
        <v>5752</v>
      </c>
      <c r="G17" s="201">
        <v>6512</v>
      </c>
      <c r="H17" s="287">
        <v>5924</v>
      </c>
    </row>
    <row r="18" spans="2:8" ht="15" customHeight="1">
      <c r="B18" s="212" t="s">
        <v>507</v>
      </c>
      <c r="C18" s="211">
        <v>173</v>
      </c>
      <c r="D18" s="124">
        <v>272</v>
      </c>
      <c r="E18" s="124">
        <v>675</v>
      </c>
      <c r="F18" s="124">
        <v>1059</v>
      </c>
      <c r="G18" s="201">
        <v>2589</v>
      </c>
      <c r="H18" s="287">
        <v>3940</v>
      </c>
    </row>
    <row r="19" spans="2:8" ht="15" customHeight="1">
      <c r="B19" s="212" t="s">
        <v>508</v>
      </c>
      <c r="C19" s="211">
        <v>797</v>
      </c>
      <c r="D19" s="124">
        <v>2466</v>
      </c>
      <c r="E19" s="124">
        <v>5259</v>
      </c>
      <c r="F19" s="124">
        <v>7999</v>
      </c>
      <c r="G19" s="201">
        <v>9373</v>
      </c>
      <c r="H19" s="287">
        <v>8468</v>
      </c>
    </row>
    <row r="20" spans="2:8" ht="15" customHeight="1">
      <c r="B20" s="212" t="s">
        <v>509</v>
      </c>
      <c r="C20" s="211">
        <v>207</v>
      </c>
      <c r="D20" s="124">
        <v>640</v>
      </c>
      <c r="E20" s="124">
        <v>1609</v>
      </c>
      <c r="F20" s="124">
        <v>2771</v>
      </c>
      <c r="G20" s="201">
        <v>4142</v>
      </c>
      <c r="H20" s="287">
        <v>5608</v>
      </c>
    </row>
    <row r="21" spans="2:8" ht="15" customHeight="1">
      <c r="B21" s="209" t="s">
        <v>510</v>
      </c>
      <c r="C21" s="211">
        <v>664</v>
      </c>
      <c r="D21" s="124">
        <v>1921</v>
      </c>
      <c r="E21" s="124">
        <v>3715</v>
      </c>
      <c r="F21" s="124">
        <v>5724</v>
      </c>
      <c r="G21" s="201">
        <v>6053</v>
      </c>
      <c r="H21" s="287">
        <v>5430</v>
      </c>
    </row>
    <row r="22" spans="2:8" ht="17.25" customHeight="1">
      <c r="B22" s="209" t="s">
        <v>511</v>
      </c>
      <c r="C22" s="211">
        <v>423</v>
      </c>
      <c r="D22" s="124">
        <v>815</v>
      </c>
      <c r="E22" s="124">
        <v>1686</v>
      </c>
      <c r="F22" s="124">
        <v>4263</v>
      </c>
      <c r="G22" s="201">
        <v>5557</v>
      </c>
      <c r="H22" s="287">
        <v>6418</v>
      </c>
    </row>
    <row r="23" spans="2:8" ht="15" customHeight="1">
      <c r="B23" s="212" t="s">
        <v>512</v>
      </c>
      <c r="C23" s="211">
        <v>93</v>
      </c>
      <c r="D23" s="124">
        <v>182</v>
      </c>
      <c r="E23" s="124">
        <v>426</v>
      </c>
      <c r="F23" s="124">
        <v>1155</v>
      </c>
      <c r="G23" s="201">
        <v>1924</v>
      </c>
      <c r="H23" s="287">
        <v>2191</v>
      </c>
    </row>
    <row r="24" spans="2:8" ht="15" customHeight="1">
      <c r="B24" s="212" t="s">
        <v>513</v>
      </c>
      <c r="C24" s="211">
        <v>201</v>
      </c>
      <c r="D24" s="124">
        <v>983</v>
      </c>
      <c r="E24" s="124">
        <v>2306</v>
      </c>
      <c r="F24" s="124">
        <v>3583</v>
      </c>
      <c r="G24" s="201">
        <v>5069</v>
      </c>
      <c r="H24" s="287">
        <v>6889</v>
      </c>
    </row>
    <row r="25" spans="2:8" ht="15" customHeight="1">
      <c r="B25" s="212" t="s">
        <v>514</v>
      </c>
      <c r="C25" s="211">
        <v>787</v>
      </c>
      <c r="D25" s="124">
        <v>2118</v>
      </c>
      <c r="E25" s="124">
        <v>4055</v>
      </c>
      <c r="F25" s="124">
        <v>7086</v>
      </c>
      <c r="G25" s="201">
        <v>8755</v>
      </c>
      <c r="H25" s="287">
        <v>10116</v>
      </c>
    </row>
    <row r="26" spans="2:8" ht="15" customHeight="1">
      <c r="B26" s="212" t="s">
        <v>515</v>
      </c>
      <c r="C26" s="211">
        <v>319</v>
      </c>
      <c r="D26" s="124">
        <v>1166</v>
      </c>
      <c r="E26" s="124">
        <v>2596</v>
      </c>
      <c r="F26" s="124">
        <v>2684</v>
      </c>
      <c r="G26" s="201">
        <v>2458</v>
      </c>
      <c r="H26" s="287">
        <v>2212</v>
      </c>
    </row>
    <row r="27" spans="2:8" ht="15" customHeight="1">
      <c r="B27" s="212" t="s">
        <v>516</v>
      </c>
      <c r="C27" s="211">
        <v>219</v>
      </c>
      <c r="D27" s="124">
        <v>448</v>
      </c>
      <c r="E27" s="124">
        <v>1020</v>
      </c>
      <c r="F27" s="124">
        <v>1777</v>
      </c>
      <c r="G27" s="201">
        <v>1752</v>
      </c>
      <c r="H27" s="287">
        <v>1581</v>
      </c>
    </row>
    <row r="28" spans="2:8" ht="15.75" customHeight="1">
      <c r="B28" s="209" t="s">
        <v>517</v>
      </c>
      <c r="C28" s="211">
        <v>1020</v>
      </c>
      <c r="D28" s="124">
        <v>2108</v>
      </c>
      <c r="E28" s="124">
        <v>3863</v>
      </c>
      <c r="F28" s="124">
        <v>6259</v>
      </c>
      <c r="G28" s="201">
        <v>8048</v>
      </c>
      <c r="H28" s="287">
        <v>7286</v>
      </c>
    </row>
    <row r="29" spans="2:8" ht="15" customHeight="1">
      <c r="B29" s="212" t="s">
        <v>518</v>
      </c>
      <c r="C29" s="211">
        <v>150</v>
      </c>
      <c r="D29" s="124">
        <v>462</v>
      </c>
      <c r="E29" s="124">
        <v>876</v>
      </c>
      <c r="F29" s="124">
        <v>1575</v>
      </c>
      <c r="G29" s="201">
        <v>1814</v>
      </c>
      <c r="H29" s="287">
        <v>1632</v>
      </c>
    </row>
    <row r="30" spans="2:8" ht="15" customHeight="1">
      <c r="B30" s="212" t="s">
        <v>519</v>
      </c>
      <c r="C30" s="211">
        <v>475</v>
      </c>
      <c r="D30" s="124">
        <v>1101</v>
      </c>
      <c r="E30" s="124">
        <v>2754</v>
      </c>
      <c r="F30" s="124">
        <v>4776</v>
      </c>
      <c r="G30" s="201">
        <v>4602</v>
      </c>
      <c r="H30" s="287">
        <v>4130</v>
      </c>
    </row>
    <row r="31" spans="2:8" ht="15" customHeight="1">
      <c r="B31" s="212" t="s">
        <v>520</v>
      </c>
      <c r="C31" s="211">
        <v>197</v>
      </c>
      <c r="D31" s="124">
        <v>409</v>
      </c>
      <c r="E31" s="124">
        <v>954</v>
      </c>
      <c r="F31" s="124">
        <v>2700</v>
      </c>
      <c r="G31" s="201">
        <v>4139</v>
      </c>
      <c r="H31" s="287">
        <v>3776</v>
      </c>
    </row>
    <row r="32" spans="2:8" ht="15" customHeight="1">
      <c r="B32" s="212" t="s">
        <v>521</v>
      </c>
      <c r="C32" s="211">
        <v>156</v>
      </c>
      <c r="D32" s="124">
        <v>318</v>
      </c>
      <c r="E32" s="124">
        <v>634</v>
      </c>
      <c r="F32" s="124">
        <v>1258</v>
      </c>
      <c r="G32" s="201">
        <v>1694</v>
      </c>
      <c r="H32" s="287">
        <v>1685</v>
      </c>
    </row>
    <row r="33" spans="2:8" ht="15" customHeight="1" thickBot="1">
      <c r="B33" s="307" t="s">
        <v>522</v>
      </c>
      <c r="C33" s="222">
        <v>372</v>
      </c>
      <c r="D33" s="216">
        <v>791</v>
      </c>
      <c r="E33" s="216">
        <v>1489</v>
      </c>
      <c r="F33" s="216">
        <v>2193</v>
      </c>
      <c r="G33" s="217">
        <v>2244</v>
      </c>
      <c r="H33" s="288">
        <v>2062</v>
      </c>
    </row>
    <row r="34" spans="2:8" ht="19.5" customHeight="1" thickBot="1">
      <c r="B34" s="213" t="s">
        <v>29</v>
      </c>
      <c r="C34" s="223">
        <v>14707</v>
      </c>
      <c r="D34" s="220">
        <f>SUM(D5:D33)</f>
        <v>36771</v>
      </c>
      <c r="E34" s="220">
        <f>SUM(E5:E33)</f>
        <v>84112</v>
      </c>
      <c r="F34" s="220">
        <f>SUM(F5:F33)</f>
        <v>137764</v>
      </c>
      <c r="G34" s="285">
        <f>SUM(G5:G33)</f>
        <v>173553</v>
      </c>
      <c r="H34" s="221">
        <f>SUM(H5:H33)</f>
        <v>179392</v>
      </c>
    </row>
    <row r="35" ht="12.75">
      <c r="B35" s="144" t="s">
        <v>467</v>
      </c>
    </row>
    <row r="36" ht="12.75">
      <c r="B36" s="122"/>
    </row>
    <row r="38" spans="2:13" ht="12.75">
      <c r="B38" s="119" t="s">
        <v>108</v>
      </c>
      <c r="C38" s="119"/>
      <c r="D38" s="119"/>
      <c r="E38" s="119"/>
      <c r="F38" s="119"/>
      <c r="G38" s="119"/>
      <c r="H38" s="119"/>
      <c r="J38" s="119"/>
      <c r="K38" s="119"/>
      <c r="L38" s="119"/>
      <c r="M38" s="119"/>
    </row>
    <row r="39" ht="13.5" thickBot="1"/>
    <row r="40" spans="2:9" ht="47.25" customHeight="1" thickBot="1">
      <c r="B40" s="203" t="s">
        <v>30</v>
      </c>
      <c r="C40" s="205" t="s">
        <v>462</v>
      </c>
      <c r="D40" s="206" t="s">
        <v>453</v>
      </c>
      <c r="E40" s="206" t="s">
        <v>524</v>
      </c>
      <c r="F40" s="206" t="s">
        <v>457</v>
      </c>
      <c r="G40" s="206" t="s">
        <v>523</v>
      </c>
      <c r="H40" s="284" t="s">
        <v>525</v>
      </c>
      <c r="I40" s="207" t="s">
        <v>531</v>
      </c>
    </row>
    <row r="41" spans="2:9" ht="31.5" customHeight="1">
      <c r="B41" s="208" t="s">
        <v>31</v>
      </c>
      <c r="C41" s="204">
        <v>2047</v>
      </c>
      <c r="D41" s="204">
        <v>4116</v>
      </c>
      <c r="E41" s="125">
        <v>7492</v>
      </c>
      <c r="F41" s="125">
        <v>12873</v>
      </c>
      <c r="G41" s="125">
        <v>19205</v>
      </c>
      <c r="H41" s="202">
        <v>26453</v>
      </c>
      <c r="I41" s="286">
        <v>39611</v>
      </c>
    </row>
    <row r="42" spans="2:9" ht="31.5" customHeight="1">
      <c r="B42" s="209" t="s">
        <v>32</v>
      </c>
      <c r="C42" s="123">
        <v>1569</v>
      </c>
      <c r="D42" s="123">
        <v>2353</v>
      </c>
      <c r="E42" s="124">
        <v>4627</v>
      </c>
      <c r="F42" s="124">
        <v>6869</v>
      </c>
      <c r="G42" s="124">
        <v>9228</v>
      </c>
      <c r="H42" s="201">
        <v>11158</v>
      </c>
      <c r="I42" s="287">
        <v>14031</v>
      </c>
    </row>
    <row r="43" spans="2:9" ht="17.25" customHeight="1">
      <c r="B43" s="209" t="s">
        <v>33</v>
      </c>
      <c r="C43" s="123">
        <v>1927</v>
      </c>
      <c r="D43" s="123">
        <v>3081</v>
      </c>
      <c r="E43" s="124">
        <v>4519</v>
      </c>
      <c r="F43" s="124">
        <v>6551</v>
      </c>
      <c r="G43" s="124">
        <v>8555</v>
      </c>
      <c r="H43" s="201">
        <v>10364</v>
      </c>
      <c r="I43" s="287">
        <v>18972</v>
      </c>
    </row>
    <row r="44" spans="2:9" ht="18" customHeight="1">
      <c r="B44" s="209" t="s">
        <v>34</v>
      </c>
      <c r="C44" s="123">
        <v>1515</v>
      </c>
      <c r="D44" s="123">
        <v>2875</v>
      </c>
      <c r="E44" s="124">
        <v>5320</v>
      </c>
      <c r="F44" s="124">
        <v>7700</v>
      </c>
      <c r="G44" s="124">
        <v>12764</v>
      </c>
      <c r="H44" s="201">
        <v>16589</v>
      </c>
      <c r="I44" s="287">
        <v>24630</v>
      </c>
    </row>
    <row r="45" spans="2:9" ht="18.75" customHeight="1">
      <c r="B45" s="209" t="s">
        <v>35</v>
      </c>
      <c r="C45" s="123">
        <v>1199</v>
      </c>
      <c r="D45" s="123">
        <v>1826</v>
      </c>
      <c r="E45" s="124">
        <v>2580</v>
      </c>
      <c r="F45" s="124">
        <v>3591</v>
      </c>
      <c r="G45" s="124">
        <v>4817</v>
      </c>
      <c r="H45" s="201">
        <v>5986</v>
      </c>
      <c r="I45" s="287">
        <v>8367</v>
      </c>
    </row>
    <row r="46" spans="2:9" ht="31.5" customHeight="1">
      <c r="B46" s="209" t="s">
        <v>36</v>
      </c>
      <c r="C46" s="123">
        <v>1568</v>
      </c>
      <c r="D46" s="123">
        <v>2150</v>
      </c>
      <c r="E46" s="124">
        <v>2983</v>
      </c>
      <c r="F46" s="124">
        <v>4252</v>
      </c>
      <c r="G46" s="124">
        <v>5668</v>
      </c>
      <c r="H46" s="201">
        <v>6885</v>
      </c>
      <c r="I46" s="287">
        <v>12409</v>
      </c>
    </row>
    <row r="47" spans="2:9" ht="31.5" customHeight="1" thickBot="1">
      <c r="B47" s="214" t="s">
        <v>37</v>
      </c>
      <c r="C47" s="215">
        <v>1519</v>
      </c>
      <c r="D47" s="215">
        <v>2202</v>
      </c>
      <c r="E47" s="216">
        <v>2981</v>
      </c>
      <c r="F47" s="216">
        <v>4769</v>
      </c>
      <c r="G47" s="216">
        <v>6893</v>
      </c>
      <c r="H47" s="217">
        <v>8679</v>
      </c>
      <c r="I47" s="289">
        <v>12864</v>
      </c>
    </row>
    <row r="48" spans="2:9" ht="13.5" thickBot="1">
      <c r="B48" s="147" t="s">
        <v>38</v>
      </c>
      <c r="C48" s="218">
        <f aca="true" t="shared" si="0" ref="C48:H48">SUM(C41:C47)</f>
        <v>11344</v>
      </c>
      <c r="D48" s="219">
        <f t="shared" si="0"/>
        <v>18603</v>
      </c>
      <c r="E48" s="220">
        <f t="shared" si="0"/>
        <v>30502</v>
      </c>
      <c r="F48" s="220">
        <f t="shared" si="0"/>
        <v>46605</v>
      </c>
      <c r="G48" s="220">
        <f t="shared" si="0"/>
        <v>67130</v>
      </c>
      <c r="H48" s="285">
        <f t="shared" si="0"/>
        <v>86114</v>
      </c>
      <c r="I48" s="221">
        <f>SUM(I41:I47)</f>
        <v>130884</v>
      </c>
    </row>
    <row r="51" spans="2:19" ht="12.75">
      <c r="B51" s="119" t="s">
        <v>526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</row>
    <row r="52" ht="13.5" thickBot="1"/>
    <row r="53" spans="2:14" ht="48" customHeight="1" thickBot="1">
      <c r="B53" s="229" t="s">
        <v>101</v>
      </c>
      <c r="C53" s="205" t="s">
        <v>463</v>
      </c>
      <c r="D53" s="206" t="s">
        <v>460</v>
      </c>
      <c r="E53" s="206" t="s">
        <v>461</v>
      </c>
      <c r="F53" s="206" t="s">
        <v>458</v>
      </c>
      <c r="G53" s="206" t="s">
        <v>459</v>
      </c>
      <c r="H53" s="206" t="s">
        <v>462</v>
      </c>
      <c r="I53" s="206" t="s">
        <v>453</v>
      </c>
      <c r="J53" s="206" t="s">
        <v>524</v>
      </c>
      <c r="K53" s="206" t="s">
        <v>454</v>
      </c>
      <c r="L53" s="206" t="s">
        <v>455</v>
      </c>
      <c r="M53" s="284" t="s">
        <v>456</v>
      </c>
      <c r="N53" s="207" t="s">
        <v>531</v>
      </c>
    </row>
    <row r="54" spans="2:14" ht="12.75">
      <c r="B54" s="115" t="s">
        <v>71</v>
      </c>
      <c r="C54" s="230">
        <v>1055</v>
      </c>
      <c r="D54" s="125">
        <v>18444</v>
      </c>
      <c r="E54" s="231">
        <v>27840</v>
      </c>
      <c r="F54" s="125">
        <v>36001</v>
      </c>
      <c r="G54" s="125">
        <v>41963</v>
      </c>
      <c r="H54" s="125">
        <v>51193</v>
      </c>
      <c r="I54" s="125">
        <v>59283</v>
      </c>
      <c r="J54" s="125">
        <v>68121</v>
      </c>
      <c r="K54" s="231">
        <v>78275</v>
      </c>
      <c r="L54" s="232">
        <v>91001</v>
      </c>
      <c r="M54" s="290">
        <v>103314</v>
      </c>
      <c r="N54" s="294">
        <v>116063</v>
      </c>
    </row>
    <row r="55" spans="2:14" ht="12.75">
      <c r="B55" s="116" t="s">
        <v>72</v>
      </c>
      <c r="C55" s="225">
        <v>1112</v>
      </c>
      <c r="D55" s="124">
        <v>9861</v>
      </c>
      <c r="E55" s="176">
        <v>12658</v>
      </c>
      <c r="F55" s="124">
        <v>17317</v>
      </c>
      <c r="G55" s="124">
        <v>20064</v>
      </c>
      <c r="H55" s="124">
        <v>26270</v>
      </c>
      <c r="I55" s="124">
        <v>31609</v>
      </c>
      <c r="J55" s="124">
        <v>36409</v>
      </c>
      <c r="K55" s="125">
        <v>41684</v>
      </c>
      <c r="L55" s="125">
        <v>50243</v>
      </c>
      <c r="M55" s="291">
        <v>59555</v>
      </c>
      <c r="N55" s="197">
        <v>70396</v>
      </c>
    </row>
    <row r="56" spans="2:14" ht="12.75">
      <c r="B56" s="116" t="s">
        <v>1</v>
      </c>
      <c r="C56" s="225">
        <v>672</v>
      </c>
      <c r="D56" s="124">
        <v>11637</v>
      </c>
      <c r="E56" s="176">
        <v>16357</v>
      </c>
      <c r="F56" s="124">
        <v>22403</v>
      </c>
      <c r="G56" s="124">
        <v>26189</v>
      </c>
      <c r="H56" s="124">
        <v>31862</v>
      </c>
      <c r="I56" s="124">
        <v>36011</v>
      </c>
      <c r="J56" s="124">
        <v>40781</v>
      </c>
      <c r="K56" s="124">
        <v>45136</v>
      </c>
      <c r="L56" s="124">
        <v>53674</v>
      </c>
      <c r="M56" s="292">
        <v>63055</v>
      </c>
      <c r="N56" s="108">
        <v>72938</v>
      </c>
    </row>
    <row r="57" spans="2:14" ht="12.75">
      <c r="B57" s="116" t="s">
        <v>73</v>
      </c>
      <c r="C57" s="225">
        <v>666</v>
      </c>
      <c r="D57" s="124">
        <v>24019</v>
      </c>
      <c r="E57" s="176">
        <v>30512</v>
      </c>
      <c r="F57" s="124">
        <v>36527</v>
      </c>
      <c r="G57" s="124">
        <v>41972</v>
      </c>
      <c r="H57" s="124">
        <v>49661</v>
      </c>
      <c r="I57" s="124">
        <v>56530</v>
      </c>
      <c r="J57" s="124">
        <v>63630</v>
      </c>
      <c r="K57" s="124">
        <v>70405</v>
      </c>
      <c r="L57" s="124">
        <v>82473</v>
      </c>
      <c r="M57" s="292">
        <v>93099</v>
      </c>
      <c r="N57" s="108">
        <v>109831</v>
      </c>
    </row>
    <row r="58" spans="2:14" ht="12.75">
      <c r="B58" s="116" t="s">
        <v>74</v>
      </c>
      <c r="C58" s="225">
        <v>8281</v>
      </c>
      <c r="D58" s="124">
        <v>113897</v>
      </c>
      <c r="E58" s="176">
        <v>151872</v>
      </c>
      <c r="F58" s="124">
        <v>189367</v>
      </c>
      <c r="G58" s="124">
        <v>218244</v>
      </c>
      <c r="H58" s="124">
        <v>257242</v>
      </c>
      <c r="I58" s="124">
        <v>295449</v>
      </c>
      <c r="J58" s="124">
        <v>333423</v>
      </c>
      <c r="K58" s="124">
        <v>372790</v>
      </c>
      <c r="L58" s="124">
        <v>424648</v>
      </c>
      <c r="M58" s="292">
        <v>492811</v>
      </c>
      <c r="N58" s="108">
        <v>572948</v>
      </c>
    </row>
    <row r="59" spans="2:14" ht="12.75">
      <c r="B59" s="116" t="s">
        <v>2</v>
      </c>
      <c r="C59" s="225">
        <v>1190</v>
      </c>
      <c r="D59" s="124">
        <v>14750</v>
      </c>
      <c r="E59" s="176">
        <v>21164</v>
      </c>
      <c r="F59" s="124">
        <v>26358</v>
      </c>
      <c r="G59" s="124">
        <v>30643</v>
      </c>
      <c r="H59" s="124">
        <v>38277</v>
      </c>
      <c r="I59" s="124">
        <v>44809</v>
      </c>
      <c r="J59" s="124">
        <v>51784</v>
      </c>
      <c r="K59" s="124">
        <v>57958</v>
      </c>
      <c r="L59" s="124">
        <v>65496</v>
      </c>
      <c r="M59" s="292">
        <v>73122</v>
      </c>
      <c r="N59" s="108">
        <v>84271</v>
      </c>
    </row>
    <row r="60" spans="2:14" ht="12.75">
      <c r="B60" s="116" t="s">
        <v>75</v>
      </c>
      <c r="C60" s="225">
        <v>587</v>
      </c>
      <c r="D60" s="124">
        <v>14361</v>
      </c>
      <c r="E60" s="176">
        <v>19221</v>
      </c>
      <c r="F60" s="124">
        <v>24425</v>
      </c>
      <c r="G60" s="124">
        <v>29157</v>
      </c>
      <c r="H60" s="124">
        <v>36454</v>
      </c>
      <c r="I60" s="124">
        <v>41969</v>
      </c>
      <c r="J60" s="124">
        <v>47206</v>
      </c>
      <c r="K60" s="124">
        <v>51626</v>
      </c>
      <c r="L60" s="124">
        <v>59312</v>
      </c>
      <c r="M60" s="292">
        <v>68169</v>
      </c>
      <c r="N60" s="108">
        <v>81180</v>
      </c>
    </row>
    <row r="61" spans="2:14" ht="12.75">
      <c r="B61" s="116" t="s">
        <v>76</v>
      </c>
      <c r="C61" s="225">
        <v>1301</v>
      </c>
      <c r="D61" s="124">
        <v>20883</v>
      </c>
      <c r="E61" s="176">
        <v>26572</v>
      </c>
      <c r="F61" s="124">
        <v>33212</v>
      </c>
      <c r="G61" s="124">
        <v>38512</v>
      </c>
      <c r="H61" s="124">
        <v>45939</v>
      </c>
      <c r="I61" s="124">
        <v>52128</v>
      </c>
      <c r="J61" s="124">
        <v>58009</v>
      </c>
      <c r="K61" s="124">
        <v>63691</v>
      </c>
      <c r="L61" s="124">
        <v>73778</v>
      </c>
      <c r="M61" s="292">
        <v>83559</v>
      </c>
      <c r="N61" s="108">
        <v>97053</v>
      </c>
    </row>
    <row r="62" spans="2:14" ht="12.75">
      <c r="B62" s="116" t="s">
        <v>77</v>
      </c>
      <c r="C62" s="225">
        <v>953</v>
      </c>
      <c r="D62" s="124">
        <v>22726</v>
      </c>
      <c r="E62" s="176">
        <v>30274</v>
      </c>
      <c r="F62" s="124">
        <v>38226</v>
      </c>
      <c r="G62" s="124">
        <v>43652</v>
      </c>
      <c r="H62" s="124">
        <v>51798</v>
      </c>
      <c r="I62" s="124">
        <v>58220</v>
      </c>
      <c r="J62" s="124">
        <v>64908</v>
      </c>
      <c r="K62" s="124">
        <v>70448</v>
      </c>
      <c r="L62" s="124">
        <v>80333</v>
      </c>
      <c r="M62" s="292">
        <v>93278</v>
      </c>
      <c r="N62" s="108">
        <v>110590</v>
      </c>
    </row>
    <row r="63" spans="2:14" ht="12.75">
      <c r="B63" s="116" t="s">
        <v>3</v>
      </c>
      <c r="C63" s="225">
        <v>539</v>
      </c>
      <c r="D63" s="124">
        <v>12770</v>
      </c>
      <c r="E63" s="176">
        <v>16323</v>
      </c>
      <c r="F63" s="124">
        <v>19857</v>
      </c>
      <c r="G63" s="124">
        <v>23338</v>
      </c>
      <c r="H63" s="124">
        <v>27943</v>
      </c>
      <c r="I63" s="124">
        <v>31883</v>
      </c>
      <c r="J63" s="124">
        <v>35687</v>
      </c>
      <c r="K63" s="124">
        <v>39996</v>
      </c>
      <c r="L63" s="124">
        <v>46320</v>
      </c>
      <c r="M63" s="292">
        <v>52080</v>
      </c>
      <c r="N63" s="108">
        <v>58041</v>
      </c>
    </row>
    <row r="64" spans="2:14" ht="12.75">
      <c r="B64" s="116" t="s">
        <v>78</v>
      </c>
      <c r="C64" s="225">
        <v>584</v>
      </c>
      <c r="D64" s="124">
        <v>11721</v>
      </c>
      <c r="E64" s="176">
        <v>15391</v>
      </c>
      <c r="F64" s="124">
        <v>20774</v>
      </c>
      <c r="G64" s="124">
        <v>24206</v>
      </c>
      <c r="H64" s="124">
        <v>29736</v>
      </c>
      <c r="I64" s="124">
        <v>34003</v>
      </c>
      <c r="J64" s="124">
        <v>38454</v>
      </c>
      <c r="K64" s="124">
        <v>43106</v>
      </c>
      <c r="L64" s="124">
        <v>50001</v>
      </c>
      <c r="M64" s="292">
        <v>58514</v>
      </c>
      <c r="N64" s="108">
        <v>68325</v>
      </c>
    </row>
    <row r="65" spans="2:14" ht="12.75">
      <c r="B65" s="116" t="s">
        <v>79</v>
      </c>
      <c r="C65" s="225">
        <v>500</v>
      </c>
      <c r="D65" s="124">
        <v>12227</v>
      </c>
      <c r="E65" s="176">
        <v>15369</v>
      </c>
      <c r="F65" s="124">
        <v>18224</v>
      </c>
      <c r="G65" s="124">
        <v>21173</v>
      </c>
      <c r="H65" s="124">
        <v>26100</v>
      </c>
      <c r="I65" s="124">
        <v>30386</v>
      </c>
      <c r="J65" s="124">
        <v>34689</v>
      </c>
      <c r="K65" s="124">
        <v>39370</v>
      </c>
      <c r="L65" s="124">
        <v>44530</v>
      </c>
      <c r="M65" s="292">
        <v>51169</v>
      </c>
      <c r="N65" s="108">
        <v>59568</v>
      </c>
    </row>
    <row r="66" spans="2:14" ht="12.75">
      <c r="B66" s="116" t="s">
        <v>80</v>
      </c>
      <c r="C66" s="225">
        <v>719</v>
      </c>
      <c r="D66" s="124">
        <v>7747</v>
      </c>
      <c r="E66" s="176">
        <v>9523</v>
      </c>
      <c r="F66" s="124">
        <v>11557</v>
      </c>
      <c r="G66" s="124">
        <v>13390</v>
      </c>
      <c r="H66" s="124">
        <v>15879</v>
      </c>
      <c r="I66" s="124">
        <v>17903</v>
      </c>
      <c r="J66" s="124">
        <v>20004</v>
      </c>
      <c r="K66" s="124">
        <v>22198</v>
      </c>
      <c r="L66" s="124">
        <v>25460</v>
      </c>
      <c r="M66" s="291">
        <v>28660</v>
      </c>
      <c r="N66" s="197">
        <v>33309</v>
      </c>
    </row>
    <row r="67" spans="2:14" ht="12.75">
      <c r="B67" s="116" t="s">
        <v>81</v>
      </c>
      <c r="C67" s="225">
        <v>2648</v>
      </c>
      <c r="D67" s="124">
        <v>44404</v>
      </c>
      <c r="E67" s="176">
        <v>59669</v>
      </c>
      <c r="F67" s="124">
        <v>73809</v>
      </c>
      <c r="G67" s="124">
        <v>85216</v>
      </c>
      <c r="H67" s="124">
        <v>104766</v>
      </c>
      <c r="I67" s="124">
        <v>122077</v>
      </c>
      <c r="J67" s="124">
        <v>139941</v>
      </c>
      <c r="K67" s="124">
        <v>160403</v>
      </c>
      <c r="L67" s="124">
        <v>191661</v>
      </c>
      <c r="M67" s="292">
        <v>225035</v>
      </c>
      <c r="N67" s="108">
        <v>263147</v>
      </c>
    </row>
    <row r="68" spans="2:14" ht="12.75">
      <c r="B68" s="116" t="s">
        <v>82</v>
      </c>
      <c r="C68" s="225">
        <v>508</v>
      </c>
      <c r="D68" s="124">
        <v>12750</v>
      </c>
      <c r="E68" s="176">
        <v>16391</v>
      </c>
      <c r="F68" s="124">
        <v>19593</v>
      </c>
      <c r="G68" s="124">
        <v>22309</v>
      </c>
      <c r="H68" s="124">
        <v>27395</v>
      </c>
      <c r="I68" s="124">
        <v>31802</v>
      </c>
      <c r="J68" s="124">
        <v>36276</v>
      </c>
      <c r="K68" s="124">
        <v>41163</v>
      </c>
      <c r="L68" s="126">
        <v>48888</v>
      </c>
      <c r="M68" s="292">
        <v>56908</v>
      </c>
      <c r="N68" s="108">
        <v>65877</v>
      </c>
    </row>
    <row r="69" spans="2:14" ht="12.75">
      <c r="B69" s="116" t="s">
        <v>83</v>
      </c>
      <c r="C69" s="225">
        <v>564</v>
      </c>
      <c r="D69" s="124">
        <v>17019</v>
      </c>
      <c r="E69" s="176">
        <v>23203</v>
      </c>
      <c r="F69" s="124">
        <v>28961</v>
      </c>
      <c r="G69" s="124">
        <v>33051</v>
      </c>
      <c r="H69" s="124">
        <v>41070</v>
      </c>
      <c r="I69" s="124">
        <v>46940</v>
      </c>
      <c r="J69" s="124">
        <v>53811</v>
      </c>
      <c r="K69" s="124">
        <v>60359</v>
      </c>
      <c r="L69" s="124">
        <v>70828</v>
      </c>
      <c r="M69" s="292">
        <v>82674</v>
      </c>
      <c r="N69" s="108">
        <v>98908</v>
      </c>
    </row>
    <row r="70" spans="2:14" ht="12.75">
      <c r="B70" s="116" t="s">
        <v>4</v>
      </c>
      <c r="C70" s="225">
        <v>363</v>
      </c>
      <c r="D70" s="124">
        <v>8153</v>
      </c>
      <c r="E70" s="176">
        <v>10271</v>
      </c>
      <c r="F70" s="124">
        <v>12765</v>
      </c>
      <c r="G70" s="124">
        <v>14604</v>
      </c>
      <c r="H70" s="124">
        <v>18417</v>
      </c>
      <c r="I70" s="124">
        <v>21589</v>
      </c>
      <c r="J70" s="124">
        <v>24962</v>
      </c>
      <c r="K70" s="124">
        <v>28405</v>
      </c>
      <c r="L70" s="124">
        <v>34222</v>
      </c>
      <c r="M70" s="292">
        <v>39829</v>
      </c>
      <c r="N70" s="108">
        <v>46587</v>
      </c>
    </row>
    <row r="71" spans="2:14" ht="12.75">
      <c r="B71" s="116" t="s">
        <v>84</v>
      </c>
      <c r="C71" s="225">
        <v>424</v>
      </c>
      <c r="D71" s="124">
        <v>10306</v>
      </c>
      <c r="E71" s="176">
        <v>12841</v>
      </c>
      <c r="F71" s="124">
        <v>15314</v>
      </c>
      <c r="G71" s="124">
        <v>17617</v>
      </c>
      <c r="H71" s="124">
        <v>21384</v>
      </c>
      <c r="I71" s="124">
        <v>24546</v>
      </c>
      <c r="J71" s="124">
        <v>27607</v>
      </c>
      <c r="K71" s="124">
        <v>30129</v>
      </c>
      <c r="L71" s="124">
        <v>35389</v>
      </c>
      <c r="M71" s="292">
        <v>42091</v>
      </c>
      <c r="N71" s="108">
        <v>49702</v>
      </c>
    </row>
    <row r="72" spans="2:14" ht="12.75">
      <c r="B72" s="116" t="s">
        <v>6</v>
      </c>
      <c r="C72" s="225">
        <v>1069</v>
      </c>
      <c r="D72" s="124">
        <v>17461</v>
      </c>
      <c r="E72" s="176">
        <v>21653</v>
      </c>
      <c r="F72" s="124">
        <v>25546</v>
      </c>
      <c r="G72" s="124">
        <v>29081</v>
      </c>
      <c r="H72" s="124">
        <v>34908</v>
      </c>
      <c r="I72" s="124">
        <v>39829</v>
      </c>
      <c r="J72" s="124">
        <v>45261</v>
      </c>
      <c r="K72" s="124">
        <v>51168</v>
      </c>
      <c r="L72" s="124">
        <v>59957</v>
      </c>
      <c r="M72" s="292">
        <v>67328</v>
      </c>
      <c r="N72" s="108">
        <v>78080</v>
      </c>
    </row>
    <row r="73" spans="2:14" ht="13.5" thickBot="1">
      <c r="B73" s="235" t="s">
        <v>85</v>
      </c>
      <c r="C73" s="226">
        <v>487</v>
      </c>
      <c r="D73" s="227">
        <v>15398</v>
      </c>
      <c r="E73" s="228">
        <v>19134</v>
      </c>
      <c r="F73" s="227">
        <v>22690</v>
      </c>
      <c r="G73" s="227">
        <v>25634</v>
      </c>
      <c r="H73" s="227">
        <v>29687</v>
      </c>
      <c r="I73" s="227">
        <v>33033</v>
      </c>
      <c r="J73" s="227">
        <v>36731</v>
      </c>
      <c r="K73" s="227">
        <v>40191</v>
      </c>
      <c r="L73" s="227">
        <v>46423</v>
      </c>
      <c r="M73" s="293">
        <v>52120</v>
      </c>
      <c r="N73" s="181">
        <v>59109</v>
      </c>
    </row>
    <row r="74" spans="2:14" ht="13.5" thickBot="1">
      <c r="B74" s="234" t="s">
        <v>0</v>
      </c>
      <c r="C74" s="233">
        <f>(SUM(C54:C73))</f>
        <v>24222</v>
      </c>
      <c r="D74" s="127">
        <f aca="true" t="shared" si="1" ref="D74:J74">SUM(D54:D73)</f>
        <v>420534</v>
      </c>
      <c r="E74" s="127">
        <f t="shared" si="1"/>
        <v>556238</v>
      </c>
      <c r="F74" s="128">
        <f t="shared" si="1"/>
        <v>692926</v>
      </c>
      <c r="G74" s="128">
        <f t="shared" si="1"/>
        <v>800015</v>
      </c>
      <c r="H74" s="128">
        <f t="shared" si="1"/>
        <v>965981</v>
      </c>
      <c r="I74" s="128">
        <f t="shared" si="1"/>
        <v>1109999</v>
      </c>
      <c r="J74" s="128">
        <f t="shared" si="1"/>
        <v>1257694</v>
      </c>
      <c r="K74" s="128">
        <f>SUM(K54:K73)</f>
        <v>1408501</v>
      </c>
      <c r="L74" s="128">
        <f>SUM(L54:L73)</f>
        <v>1634637</v>
      </c>
      <c r="M74" s="224">
        <f>SUM(M54:M73)</f>
        <v>1886370</v>
      </c>
      <c r="N74" s="221">
        <f>SUM(N54:N73)</f>
        <v>2195923</v>
      </c>
    </row>
    <row r="76" ht="12.75">
      <c r="O76" s="166"/>
    </row>
    <row r="77" spans="2:13" ht="12.75">
      <c r="B77" s="119" t="s">
        <v>468</v>
      </c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</row>
    <row r="78" ht="13.5" thickBot="1">
      <c r="I78" s="119"/>
    </row>
    <row r="79" spans="2:9" ht="43.5" customHeight="1" thickBot="1">
      <c r="B79" s="34"/>
      <c r="C79" s="205" t="s">
        <v>491</v>
      </c>
      <c r="D79" s="206" t="s">
        <v>492</v>
      </c>
      <c r="E79" s="206" t="s">
        <v>464</v>
      </c>
      <c r="F79" s="206" t="s">
        <v>457</v>
      </c>
      <c r="G79" s="206" t="s">
        <v>455</v>
      </c>
      <c r="H79" s="284" t="s">
        <v>456</v>
      </c>
      <c r="I79" s="207" t="s">
        <v>531</v>
      </c>
    </row>
    <row r="80" spans="2:9" ht="15" customHeight="1">
      <c r="B80" s="35" t="s">
        <v>39</v>
      </c>
      <c r="C80" s="243">
        <v>965981</v>
      </c>
      <c r="D80" s="231">
        <v>1109999</v>
      </c>
      <c r="E80" s="231">
        <v>1257694</v>
      </c>
      <c r="F80" s="231">
        <v>1408501</v>
      </c>
      <c r="G80" s="231">
        <v>1634637</v>
      </c>
      <c r="H80" s="295">
        <v>1886370</v>
      </c>
      <c r="I80" s="298">
        <v>2195923</v>
      </c>
    </row>
    <row r="81" spans="2:9" ht="15" customHeight="1">
      <c r="B81" s="36" t="s">
        <v>111</v>
      </c>
      <c r="C81" s="240" t="s">
        <v>40</v>
      </c>
      <c r="D81" s="176">
        <v>14707</v>
      </c>
      <c r="E81" s="176">
        <v>36771</v>
      </c>
      <c r="F81" s="176">
        <v>84112</v>
      </c>
      <c r="G81" s="176">
        <v>137764</v>
      </c>
      <c r="H81" s="296">
        <v>173553</v>
      </c>
      <c r="I81" s="241">
        <v>179392</v>
      </c>
    </row>
    <row r="82" spans="2:11" s="130" customFormat="1" ht="15" customHeight="1">
      <c r="B82" s="37" t="s">
        <v>494</v>
      </c>
      <c r="C82" s="242">
        <v>11344</v>
      </c>
      <c r="D82" s="176">
        <v>18603</v>
      </c>
      <c r="E82" s="176">
        <v>30502</v>
      </c>
      <c r="F82" s="176">
        <v>46605</v>
      </c>
      <c r="G82" s="176">
        <v>67130</v>
      </c>
      <c r="H82" s="296">
        <v>86114</v>
      </c>
      <c r="I82" s="241">
        <v>130884</v>
      </c>
      <c r="K82" s="121"/>
    </row>
    <row r="83" spans="2:11" s="130" customFormat="1" ht="15" customHeight="1">
      <c r="B83" s="37" t="s">
        <v>430</v>
      </c>
      <c r="C83" s="240" t="s">
        <v>40</v>
      </c>
      <c r="D83" s="176" t="s">
        <v>40</v>
      </c>
      <c r="E83" s="176" t="s">
        <v>40</v>
      </c>
      <c r="F83" s="176" t="s">
        <v>40</v>
      </c>
      <c r="G83" s="176">
        <v>259</v>
      </c>
      <c r="H83" s="296">
        <v>405</v>
      </c>
      <c r="I83" s="241">
        <v>611</v>
      </c>
      <c r="K83" s="121"/>
    </row>
    <row r="84" spans="2:11" s="130" customFormat="1" ht="15" customHeight="1" thickBot="1">
      <c r="B84" s="37" t="s">
        <v>493</v>
      </c>
      <c r="C84" s="94" t="s">
        <v>40</v>
      </c>
      <c r="D84" s="228" t="s">
        <v>40</v>
      </c>
      <c r="E84" s="228" t="s">
        <v>40</v>
      </c>
      <c r="F84" s="228" t="s">
        <v>40</v>
      </c>
      <c r="G84" s="228" t="s">
        <v>40</v>
      </c>
      <c r="H84" s="228" t="s">
        <v>40</v>
      </c>
      <c r="I84" s="299">
        <v>513</v>
      </c>
      <c r="K84" s="121"/>
    </row>
    <row r="85" spans="2:9" ht="18" customHeight="1" thickBot="1">
      <c r="B85" s="167" t="s">
        <v>0</v>
      </c>
      <c r="C85" s="237">
        <f>SUM(C80:C82)</f>
        <v>977325</v>
      </c>
      <c r="D85" s="238">
        <f>SUM(D80:D82)</f>
        <v>1143309</v>
      </c>
      <c r="E85" s="238">
        <f>SUM(E80:E82)</f>
        <v>1324967</v>
      </c>
      <c r="F85" s="238">
        <f>SUM(F80:F82)</f>
        <v>1539218</v>
      </c>
      <c r="G85" s="238">
        <f>SUM(G80:G83)</f>
        <v>1839790</v>
      </c>
      <c r="H85" s="297">
        <f>SUM(H80:H83)</f>
        <v>2146442</v>
      </c>
      <c r="I85" s="239">
        <f>SUM(I80:I84)</f>
        <v>2507323</v>
      </c>
    </row>
    <row r="86" spans="2:5" ht="12.75">
      <c r="B86" s="131" t="s">
        <v>428</v>
      </c>
      <c r="C86" s="131"/>
      <c r="D86" s="131"/>
      <c r="E86" s="131"/>
    </row>
    <row r="87" ht="12.75">
      <c r="B87" s="121" t="s">
        <v>112</v>
      </c>
    </row>
    <row r="88" ht="12.75">
      <c r="B88" s="121" t="s">
        <v>431</v>
      </c>
    </row>
    <row r="89" ht="12.75">
      <c r="B89" s="121" t="s">
        <v>450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2:W503"/>
  <sheetViews>
    <sheetView zoomScalePageLayoutView="0" workbookViewId="0" topLeftCell="A1">
      <selection activeCell="E1" sqref="E1:E6"/>
    </sheetView>
  </sheetViews>
  <sheetFormatPr defaultColWidth="9.140625" defaultRowHeight="12.75"/>
  <cols>
    <col min="1" max="1" width="2.421875" style="132" customWidth="1"/>
    <col min="2" max="2" width="52.140625" style="132" customWidth="1"/>
    <col min="3" max="3" width="30.7109375" style="132" bestFit="1" customWidth="1"/>
    <col min="4" max="4" width="33.140625" style="132" bestFit="1" customWidth="1"/>
    <col min="5" max="5" width="36.7109375" style="132" bestFit="1" customWidth="1"/>
    <col min="6" max="6" width="24.28125" style="132" customWidth="1"/>
    <col min="7" max="8" width="22.28125" style="132" customWidth="1"/>
    <col min="9" max="9" width="25.140625" style="132" customWidth="1"/>
    <col min="10" max="10" width="26.28125" style="132" bestFit="1" customWidth="1"/>
    <col min="11" max="11" width="27.8515625" style="132" bestFit="1" customWidth="1"/>
    <col min="12" max="12" width="26.28125" style="132" bestFit="1" customWidth="1"/>
    <col min="13" max="14" width="29.140625" style="132" customWidth="1"/>
    <col min="15" max="16" width="9.140625" style="121" customWidth="1"/>
    <col min="17" max="17" width="10.140625" style="121" bestFit="1" customWidth="1"/>
    <col min="18" max="18" width="12.00390625" style="121" bestFit="1" customWidth="1"/>
    <col min="19" max="19" width="9.140625" style="121" customWidth="1"/>
    <col min="20" max="20" width="10.28125" style="121" bestFit="1" customWidth="1"/>
    <col min="21" max="21" width="10.28125" style="121" customWidth="1"/>
    <col min="22" max="16384" width="9.140625" style="121" customWidth="1"/>
  </cols>
  <sheetData>
    <row r="1" ht="14.25" customHeight="1"/>
    <row r="2" spans="1:14" ht="12.75">
      <c r="A2" s="121"/>
      <c r="B2" s="133" t="s">
        <v>8</v>
      </c>
      <c r="C2" s="133" t="s">
        <v>13</v>
      </c>
      <c r="D2" s="133" t="s">
        <v>27</v>
      </c>
      <c r="E2" s="133" t="s">
        <v>23</v>
      </c>
      <c r="F2" s="121"/>
      <c r="G2" s="121"/>
      <c r="H2" s="121"/>
      <c r="J2" s="121"/>
      <c r="K2" s="121"/>
      <c r="L2" s="121"/>
      <c r="N2" s="121"/>
    </row>
    <row r="3" spans="1:14" ht="12.75">
      <c r="A3" s="121"/>
      <c r="B3" s="133" t="s">
        <v>9</v>
      </c>
      <c r="C3" s="133" t="s">
        <v>14</v>
      </c>
      <c r="D3" s="133" t="s">
        <v>19</v>
      </c>
      <c r="E3" s="133" t="s">
        <v>24</v>
      </c>
      <c r="F3" s="121"/>
      <c r="G3" s="121"/>
      <c r="H3" s="121"/>
      <c r="J3" s="121"/>
      <c r="K3" s="121"/>
      <c r="L3" s="121"/>
      <c r="N3" s="121"/>
    </row>
    <row r="4" spans="1:14" ht="12.75">
      <c r="A4" s="121"/>
      <c r="B4" s="133" t="s">
        <v>10</v>
      </c>
      <c r="C4" s="133" t="s">
        <v>15</v>
      </c>
      <c r="D4" s="133" t="s">
        <v>20</v>
      </c>
      <c r="E4" s="133" t="s">
        <v>5</v>
      </c>
      <c r="F4" s="121"/>
      <c r="G4" s="121"/>
      <c r="H4" s="121"/>
      <c r="J4" s="121"/>
      <c r="K4" s="121"/>
      <c r="L4" s="121"/>
      <c r="N4" s="121"/>
    </row>
    <row r="5" spans="1:14" ht="12.75">
      <c r="A5" s="121"/>
      <c r="B5" s="133" t="s">
        <v>11</v>
      </c>
      <c r="C5" s="133" t="s">
        <v>16</v>
      </c>
      <c r="D5" s="133" t="s">
        <v>21</v>
      </c>
      <c r="E5" s="133" t="s">
        <v>25</v>
      </c>
      <c r="F5" s="121"/>
      <c r="G5" s="121"/>
      <c r="H5" s="121"/>
      <c r="J5" s="121"/>
      <c r="K5" s="121"/>
      <c r="L5" s="121"/>
      <c r="N5" s="121"/>
    </row>
    <row r="6" spans="1:14" ht="12.75">
      <c r="A6" s="121"/>
      <c r="B6" s="133" t="s">
        <v>12</v>
      </c>
      <c r="C6" s="133" t="s">
        <v>18</v>
      </c>
      <c r="D6" s="133" t="s">
        <v>22</v>
      </c>
      <c r="E6" s="133" t="s">
        <v>26</v>
      </c>
      <c r="F6" s="121"/>
      <c r="G6" s="121"/>
      <c r="H6" s="121"/>
      <c r="J6" s="121"/>
      <c r="K6" s="121"/>
      <c r="L6" s="121"/>
      <c r="N6" s="121"/>
    </row>
    <row r="7" spans="1:14" ht="15.75" customHeight="1">
      <c r="A7" s="121"/>
      <c r="B7" s="121"/>
      <c r="C7" s="121"/>
      <c r="D7" s="121"/>
      <c r="L7" s="121"/>
      <c r="M7" s="121"/>
      <c r="N7" s="121"/>
    </row>
    <row r="8" ht="12.75">
      <c r="A8" s="134"/>
    </row>
    <row r="9" spans="2:14" ht="12.75">
      <c r="B9" s="137" t="s">
        <v>8</v>
      </c>
      <c r="C9" s="137"/>
      <c r="D9" s="137"/>
      <c r="E9" s="137"/>
      <c r="F9" s="137"/>
      <c r="G9" s="163"/>
      <c r="H9" s="137"/>
      <c r="I9" s="137"/>
      <c r="J9" s="137"/>
      <c r="K9" s="163"/>
      <c r="L9" s="137"/>
      <c r="M9" s="121"/>
      <c r="N9" s="121"/>
    </row>
    <row r="10" spans="2:17" ht="12.75"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20"/>
      <c r="P10" s="120"/>
      <c r="Q10" s="120"/>
    </row>
    <row r="11" spans="2:14" ht="12.75">
      <c r="B11" s="137" t="s">
        <v>106</v>
      </c>
      <c r="C11" s="137"/>
      <c r="D11" s="137"/>
      <c r="E11" s="137"/>
      <c r="F11" s="137"/>
      <c r="G11" s="163"/>
      <c r="H11" s="137"/>
      <c r="I11" s="137"/>
      <c r="J11" s="137"/>
      <c r="K11" s="163"/>
      <c r="L11" s="137"/>
      <c r="M11" s="121"/>
      <c r="N11" s="121"/>
    </row>
    <row r="12" spans="2:14" ht="12.75">
      <c r="B12" s="137"/>
      <c r="C12" s="137"/>
      <c r="D12" s="137"/>
      <c r="E12" s="137"/>
      <c r="F12" s="137"/>
      <c r="G12" s="163"/>
      <c r="H12" s="137"/>
      <c r="I12" s="137"/>
      <c r="J12" s="137"/>
      <c r="K12" s="163"/>
      <c r="L12" s="137"/>
      <c r="M12" s="121"/>
      <c r="N12" s="121"/>
    </row>
    <row r="13" spans="2:14" ht="13.5" thickBot="1">
      <c r="B13" s="136"/>
      <c r="C13" s="136"/>
      <c r="D13" s="136"/>
      <c r="E13" s="136"/>
      <c r="F13" s="136"/>
      <c r="G13" s="279"/>
      <c r="H13" s="136"/>
      <c r="I13" s="136"/>
      <c r="J13" s="136"/>
      <c r="K13" s="279"/>
      <c r="L13" s="137"/>
      <c r="M13" s="137"/>
      <c r="N13" s="137"/>
    </row>
    <row r="14" spans="2:14" ht="21" customHeight="1" thickBot="1">
      <c r="B14" s="175" t="s">
        <v>533</v>
      </c>
      <c r="C14" s="174" t="s">
        <v>446</v>
      </c>
      <c r="D14" s="174" t="s">
        <v>448</v>
      </c>
      <c r="E14" s="174" t="s">
        <v>451</v>
      </c>
      <c r="F14" s="13" t="s">
        <v>465</v>
      </c>
      <c r="G14" s="13" t="s">
        <v>480</v>
      </c>
      <c r="H14" s="13" t="s">
        <v>478</v>
      </c>
      <c r="I14" s="13" t="s">
        <v>482</v>
      </c>
      <c r="J14" s="13" t="s">
        <v>484</v>
      </c>
      <c r="K14" s="13" t="s">
        <v>487</v>
      </c>
      <c r="L14" s="13" t="s">
        <v>488</v>
      </c>
      <c r="M14" s="13" t="s">
        <v>529</v>
      </c>
      <c r="N14" s="13" t="s">
        <v>532</v>
      </c>
    </row>
    <row r="15" spans="2:14" ht="12.75" customHeight="1">
      <c r="B15" s="138" t="s">
        <v>113</v>
      </c>
      <c r="C15" s="139">
        <f>3051+1</f>
        <v>3052</v>
      </c>
      <c r="D15" s="139">
        <v>3109</v>
      </c>
      <c r="E15" s="139">
        <v>3138</v>
      </c>
      <c r="F15" s="139">
        <v>3168</v>
      </c>
      <c r="G15" s="139">
        <v>3210</v>
      </c>
      <c r="H15" s="139">
        <v>3262</v>
      </c>
      <c r="I15" s="139">
        <v>3326</v>
      </c>
      <c r="J15" s="139">
        <v>3360</v>
      </c>
      <c r="K15" s="139">
        <v>3387</v>
      </c>
      <c r="L15" s="139">
        <v>3421</v>
      </c>
      <c r="M15" s="139">
        <v>3448</v>
      </c>
      <c r="N15" s="139">
        <v>3465</v>
      </c>
    </row>
    <row r="16" spans="2:14" ht="12.75">
      <c r="B16" s="140" t="s">
        <v>114</v>
      </c>
      <c r="C16" s="141">
        <f>13196+10</f>
        <v>13206</v>
      </c>
      <c r="D16" s="141">
        <v>13424</v>
      </c>
      <c r="E16" s="141">
        <v>13543</v>
      </c>
      <c r="F16" s="141">
        <v>13665</v>
      </c>
      <c r="G16" s="141">
        <v>13783</v>
      </c>
      <c r="H16" s="141">
        <v>13958</v>
      </c>
      <c r="I16" s="141">
        <v>14170</v>
      </c>
      <c r="J16" s="141">
        <v>14278</v>
      </c>
      <c r="K16" s="141">
        <v>14364</v>
      </c>
      <c r="L16" s="141">
        <v>14462</v>
      </c>
      <c r="M16" s="141">
        <v>14563</v>
      </c>
      <c r="N16" s="141">
        <v>14663</v>
      </c>
    </row>
    <row r="17" spans="2:14" ht="12.75">
      <c r="B17" s="140" t="s">
        <v>115</v>
      </c>
      <c r="C17" s="141">
        <f>2592+1</f>
        <v>2593</v>
      </c>
      <c r="D17" s="141">
        <v>2643</v>
      </c>
      <c r="E17" s="141">
        <v>2683</v>
      </c>
      <c r="F17" s="141">
        <v>2722</v>
      </c>
      <c r="G17" s="141">
        <v>2764</v>
      </c>
      <c r="H17" s="141">
        <v>2810</v>
      </c>
      <c r="I17" s="141">
        <v>2860</v>
      </c>
      <c r="J17" s="141">
        <v>2887</v>
      </c>
      <c r="K17" s="141">
        <v>2904</v>
      </c>
      <c r="L17" s="141">
        <v>2937</v>
      </c>
      <c r="M17" s="141">
        <v>2962</v>
      </c>
      <c r="N17" s="141">
        <v>2977</v>
      </c>
    </row>
    <row r="18" spans="2:14" ht="12.75">
      <c r="B18" s="140" t="s">
        <v>116</v>
      </c>
      <c r="C18" s="141">
        <f>8232+8</f>
        <v>8240</v>
      </c>
      <c r="D18" s="141">
        <v>8399</v>
      </c>
      <c r="E18" s="141">
        <v>8510</v>
      </c>
      <c r="F18" s="141">
        <v>8610</v>
      </c>
      <c r="G18" s="141">
        <v>8700</v>
      </c>
      <c r="H18" s="141">
        <v>8810</v>
      </c>
      <c r="I18" s="141">
        <v>8932</v>
      </c>
      <c r="J18" s="141">
        <v>9008</v>
      </c>
      <c r="K18" s="141">
        <v>9070</v>
      </c>
      <c r="L18" s="141">
        <v>9129</v>
      </c>
      <c r="M18" s="141">
        <v>9182</v>
      </c>
      <c r="N18" s="141">
        <v>9237</v>
      </c>
    </row>
    <row r="19" spans="2:14" ht="12.75">
      <c r="B19" s="140" t="s">
        <v>117</v>
      </c>
      <c r="C19" s="141">
        <v>2633</v>
      </c>
      <c r="D19" s="141">
        <v>2682</v>
      </c>
      <c r="E19" s="141">
        <v>2722</v>
      </c>
      <c r="F19" s="141">
        <v>2758</v>
      </c>
      <c r="G19" s="141">
        <v>2799</v>
      </c>
      <c r="H19" s="141">
        <v>2858</v>
      </c>
      <c r="I19" s="141">
        <v>2911</v>
      </c>
      <c r="J19" s="141">
        <v>2949</v>
      </c>
      <c r="K19" s="141">
        <v>2982</v>
      </c>
      <c r="L19" s="141">
        <v>3004</v>
      </c>
      <c r="M19" s="141">
        <v>3026</v>
      </c>
      <c r="N19" s="141">
        <v>3044</v>
      </c>
    </row>
    <row r="20" spans="2:14" ht="12.75">
      <c r="B20" s="140" t="s">
        <v>118</v>
      </c>
      <c r="C20" s="141">
        <f>23816+12</f>
        <v>23828</v>
      </c>
      <c r="D20" s="141">
        <v>24120</v>
      </c>
      <c r="E20" s="141">
        <v>24308</v>
      </c>
      <c r="F20" s="141">
        <v>24454</v>
      </c>
      <c r="G20" s="141">
        <v>24606</v>
      </c>
      <c r="H20" s="141">
        <v>24859</v>
      </c>
      <c r="I20" s="141">
        <v>25139</v>
      </c>
      <c r="J20" s="141">
        <v>25336</v>
      </c>
      <c r="K20" s="141">
        <v>25540</v>
      </c>
      <c r="L20" s="141">
        <v>25755</v>
      </c>
      <c r="M20" s="141">
        <v>25930</v>
      </c>
      <c r="N20" s="141">
        <v>26064</v>
      </c>
    </row>
    <row r="21" spans="2:14" ht="12.75">
      <c r="B21" s="140" t="s">
        <v>119</v>
      </c>
      <c r="C21" s="141">
        <v>2573</v>
      </c>
      <c r="D21" s="141">
        <v>2586</v>
      </c>
      <c r="E21" s="141">
        <v>2596</v>
      </c>
      <c r="F21" s="141">
        <v>2603</v>
      </c>
      <c r="G21" s="141">
        <v>2610</v>
      </c>
      <c r="H21" s="141">
        <v>2627</v>
      </c>
      <c r="I21" s="141">
        <v>2654</v>
      </c>
      <c r="J21" s="141">
        <v>2658</v>
      </c>
      <c r="K21" s="141">
        <v>2664</v>
      </c>
      <c r="L21" s="141">
        <v>2666</v>
      </c>
      <c r="M21" s="141">
        <v>2674</v>
      </c>
      <c r="N21" s="141">
        <v>2681</v>
      </c>
    </row>
    <row r="22" spans="2:14" ht="12.75">
      <c r="B22" s="140" t="s">
        <v>120</v>
      </c>
      <c r="C22" s="141">
        <f>2676+1+1</f>
        <v>2678</v>
      </c>
      <c r="D22" s="141">
        <v>2706</v>
      </c>
      <c r="E22" s="141">
        <v>2718</v>
      </c>
      <c r="F22" s="141">
        <v>2739</v>
      </c>
      <c r="G22" s="141">
        <v>2757</v>
      </c>
      <c r="H22" s="141">
        <v>2785</v>
      </c>
      <c r="I22" s="141">
        <v>2822</v>
      </c>
      <c r="J22" s="141">
        <v>2839</v>
      </c>
      <c r="K22" s="141">
        <v>2862</v>
      </c>
      <c r="L22" s="141">
        <v>2872</v>
      </c>
      <c r="M22" s="141">
        <v>2887</v>
      </c>
      <c r="N22" s="141">
        <v>2899</v>
      </c>
    </row>
    <row r="23" spans="2:14" ht="12.75">
      <c r="B23" s="140" t="s">
        <v>121</v>
      </c>
      <c r="C23" s="141">
        <f>2993+2</f>
        <v>2995</v>
      </c>
      <c r="D23" s="141">
        <v>3029</v>
      </c>
      <c r="E23" s="141">
        <v>3046</v>
      </c>
      <c r="F23" s="141">
        <v>3080</v>
      </c>
      <c r="G23" s="141">
        <v>3110</v>
      </c>
      <c r="H23" s="141">
        <v>3135</v>
      </c>
      <c r="I23" s="141">
        <v>3170</v>
      </c>
      <c r="J23" s="141">
        <v>3186</v>
      </c>
      <c r="K23" s="141">
        <v>3212</v>
      </c>
      <c r="L23" s="141">
        <v>3220</v>
      </c>
      <c r="M23" s="141">
        <v>3240</v>
      </c>
      <c r="N23" s="141">
        <v>3248</v>
      </c>
    </row>
    <row r="24" spans="2:14" ht="12.75">
      <c r="B24" s="140" t="s">
        <v>122</v>
      </c>
      <c r="C24" s="141">
        <v>3095</v>
      </c>
      <c r="D24" s="141">
        <v>3121</v>
      </c>
      <c r="E24" s="141">
        <v>3142</v>
      </c>
      <c r="F24" s="141">
        <v>3171</v>
      </c>
      <c r="G24" s="141">
        <v>3182</v>
      </c>
      <c r="H24" s="141">
        <v>3222</v>
      </c>
      <c r="I24" s="141">
        <v>3252</v>
      </c>
      <c r="J24" s="141">
        <v>3265</v>
      </c>
      <c r="K24" s="141">
        <v>3279</v>
      </c>
      <c r="L24" s="141">
        <v>3304</v>
      </c>
      <c r="M24" s="141">
        <v>3312</v>
      </c>
      <c r="N24" s="141">
        <v>3342</v>
      </c>
    </row>
    <row r="25" spans="2:14" ht="12.75">
      <c r="B25" s="140" t="s">
        <v>123</v>
      </c>
      <c r="C25" s="141">
        <f>6713+5</f>
        <v>6718</v>
      </c>
      <c r="D25" s="141">
        <v>6796</v>
      </c>
      <c r="E25" s="141">
        <v>6845</v>
      </c>
      <c r="F25" s="141">
        <v>6907</v>
      </c>
      <c r="G25" s="141">
        <v>6973</v>
      </c>
      <c r="H25" s="141">
        <v>7069</v>
      </c>
      <c r="I25" s="141">
        <v>7177</v>
      </c>
      <c r="J25" s="141">
        <v>7225</v>
      </c>
      <c r="K25" s="141">
        <v>7274</v>
      </c>
      <c r="L25" s="141">
        <v>7354</v>
      </c>
      <c r="M25" s="141">
        <v>7450</v>
      </c>
      <c r="N25" s="141">
        <v>7517</v>
      </c>
    </row>
    <row r="26" spans="2:14" ht="12.75">
      <c r="B26" s="140" t="s">
        <v>124</v>
      </c>
      <c r="C26" s="141">
        <f>3350+1+1</f>
        <v>3352</v>
      </c>
      <c r="D26" s="141">
        <v>3370</v>
      </c>
      <c r="E26" s="141">
        <v>3388</v>
      </c>
      <c r="F26" s="141">
        <v>3407</v>
      </c>
      <c r="G26" s="141">
        <v>3436</v>
      </c>
      <c r="H26" s="141">
        <v>3459</v>
      </c>
      <c r="I26" s="141">
        <v>3479</v>
      </c>
      <c r="J26" s="141">
        <v>3471</v>
      </c>
      <c r="K26" s="141">
        <v>3462</v>
      </c>
      <c r="L26" s="141">
        <v>3449</v>
      </c>
      <c r="M26" s="141">
        <v>3428</v>
      </c>
      <c r="N26" s="141">
        <v>3414</v>
      </c>
    </row>
    <row r="27" spans="2:14" ht="12.75">
      <c r="B27" s="140" t="s">
        <v>125</v>
      </c>
      <c r="C27" s="141">
        <f>8059+1+2</f>
        <v>8062</v>
      </c>
      <c r="D27" s="141">
        <v>8204</v>
      </c>
      <c r="E27" s="141">
        <v>8270</v>
      </c>
      <c r="F27" s="141">
        <v>8351</v>
      </c>
      <c r="G27" s="141">
        <v>8430</v>
      </c>
      <c r="H27" s="141">
        <v>8560</v>
      </c>
      <c r="I27" s="141">
        <v>8743</v>
      </c>
      <c r="J27" s="141">
        <v>8823</v>
      </c>
      <c r="K27" s="141">
        <v>8893</v>
      </c>
      <c r="L27" s="141">
        <v>8955</v>
      </c>
      <c r="M27" s="141">
        <v>9038</v>
      </c>
      <c r="N27" s="141">
        <v>9108</v>
      </c>
    </row>
    <row r="28" spans="2:14" ht="12.75">
      <c r="B28" s="140" t="s">
        <v>126</v>
      </c>
      <c r="C28" s="141">
        <f>7879+3</f>
        <v>7882</v>
      </c>
      <c r="D28" s="141">
        <v>7977</v>
      </c>
      <c r="E28" s="141">
        <v>8031</v>
      </c>
      <c r="F28" s="141">
        <v>8102</v>
      </c>
      <c r="G28" s="141">
        <v>8175</v>
      </c>
      <c r="H28" s="141">
        <v>8306</v>
      </c>
      <c r="I28" s="141">
        <v>8414</v>
      </c>
      <c r="J28" s="141">
        <v>8471</v>
      </c>
      <c r="K28" s="141">
        <v>8520</v>
      </c>
      <c r="L28" s="141">
        <v>8547</v>
      </c>
      <c r="M28" s="141">
        <v>8615</v>
      </c>
      <c r="N28" s="141">
        <v>8655</v>
      </c>
    </row>
    <row r="29" spans="2:14" ht="12.75">
      <c r="B29" s="140" t="s">
        <v>398</v>
      </c>
      <c r="C29" s="141">
        <f>629+1</f>
        <v>630</v>
      </c>
      <c r="D29" s="141">
        <v>659</v>
      </c>
      <c r="E29" s="141">
        <v>693</v>
      </c>
      <c r="F29" s="141">
        <v>723</v>
      </c>
      <c r="G29" s="141">
        <v>752</v>
      </c>
      <c r="H29" s="141">
        <v>781</v>
      </c>
      <c r="I29" s="141">
        <v>809</v>
      </c>
      <c r="J29" s="141">
        <v>833</v>
      </c>
      <c r="K29" s="141">
        <v>856</v>
      </c>
      <c r="L29" s="141">
        <v>873</v>
      </c>
      <c r="M29" s="141">
        <v>882</v>
      </c>
      <c r="N29" s="141">
        <v>893</v>
      </c>
    </row>
    <row r="30" spans="2:14" ht="12.75">
      <c r="B30" s="140" t="s">
        <v>127</v>
      </c>
      <c r="C30" s="141">
        <f>5166+2</f>
        <v>5168</v>
      </c>
      <c r="D30" s="141">
        <v>5241</v>
      </c>
      <c r="E30" s="141">
        <v>5280</v>
      </c>
      <c r="F30" s="141">
        <v>5337</v>
      </c>
      <c r="G30" s="141">
        <v>5393</v>
      </c>
      <c r="H30" s="141">
        <v>5489</v>
      </c>
      <c r="I30" s="141">
        <v>5602</v>
      </c>
      <c r="J30" s="141">
        <v>5636</v>
      </c>
      <c r="K30" s="141">
        <v>5667</v>
      </c>
      <c r="L30" s="141">
        <v>5715</v>
      </c>
      <c r="M30" s="141">
        <v>5750</v>
      </c>
      <c r="N30" s="141">
        <v>5796</v>
      </c>
    </row>
    <row r="31" spans="2:14" ht="12.75">
      <c r="B31" s="140" t="s">
        <v>128</v>
      </c>
      <c r="C31" s="141">
        <f>2729+1</f>
        <v>2730</v>
      </c>
      <c r="D31" s="141">
        <v>2783</v>
      </c>
      <c r="E31" s="141">
        <v>2808</v>
      </c>
      <c r="F31" s="141">
        <v>2849</v>
      </c>
      <c r="G31" s="141">
        <v>2897</v>
      </c>
      <c r="H31" s="141">
        <v>2936</v>
      </c>
      <c r="I31" s="141">
        <v>2974</v>
      </c>
      <c r="J31" s="141">
        <v>3002</v>
      </c>
      <c r="K31" s="141">
        <v>3023</v>
      </c>
      <c r="L31" s="141">
        <v>3053</v>
      </c>
      <c r="M31" s="141">
        <v>3082</v>
      </c>
      <c r="N31" s="141">
        <v>3097</v>
      </c>
    </row>
    <row r="32" spans="2:14" ht="12.75">
      <c r="B32" s="142" t="s">
        <v>129</v>
      </c>
      <c r="C32" s="143">
        <v>1430</v>
      </c>
      <c r="D32" s="143">
        <v>1442</v>
      </c>
      <c r="E32" s="143">
        <v>1457</v>
      </c>
      <c r="F32" s="143">
        <v>1472</v>
      </c>
      <c r="G32" s="143">
        <v>1480</v>
      </c>
      <c r="H32" s="143">
        <v>1497</v>
      </c>
      <c r="I32" s="143">
        <v>1514</v>
      </c>
      <c r="J32" s="143">
        <v>1529</v>
      </c>
      <c r="K32" s="141">
        <v>1536</v>
      </c>
      <c r="L32" s="141">
        <v>1550</v>
      </c>
      <c r="M32" s="141">
        <v>1561</v>
      </c>
      <c r="N32" s="141">
        <v>1565</v>
      </c>
    </row>
    <row r="33" spans="2:14" ht="12.75">
      <c r="B33" s="142" t="s">
        <v>399</v>
      </c>
      <c r="C33" s="143">
        <v>511</v>
      </c>
      <c r="D33" s="143">
        <v>527</v>
      </c>
      <c r="E33" s="143">
        <v>538</v>
      </c>
      <c r="F33" s="143">
        <v>552</v>
      </c>
      <c r="G33" s="143">
        <v>575</v>
      </c>
      <c r="H33" s="143">
        <v>595</v>
      </c>
      <c r="I33" s="143">
        <v>612</v>
      </c>
      <c r="J33" s="143">
        <v>622</v>
      </c>
      <c r="K33" s="141">
        <v>633</v>
      </c>
      <c r="L33" s="141">
        <v>654</v>
      </c>
      <c r="M33" s="141">
        <v>668</v>
      </c>
      <c r="N33" s="141">
        <v>674</v>
      </c>
    </row>
    <row r="34" spans="1:14" ht="13.5" thickBot="1">
      <c r="A34" s="144"/>
      <c r="B34" s="145" t="s">
        <v>130</v>
      </c>
      <c r="C34" s="146">
        <f>3227+2</f>
        <v>3229</v>
      </c>
      <c r="D34" s="146">
        <v>3280</v>
      </c>
      <c r="E34" s="146">
        <v>3320</v>
      </c>
      <c r="F34" s="146">
        <v>3368</v>
      </c>
      <c r="G34" s="146">
        <v>3407</v>
      </c>
      <c r="H34" s="146">
        <v>3459</v>
      </c>
      <c r="I34" s="146">
        <v>3529</v>
      </c>
      <c r="J34" s="146">
        <v>3582</v>
      </c>
      <c r="K34" s="141">
        <v>3618</v>
      </c>
      <c r="L34" s="141">
        <v>3656</v>
      </c>
      <c r="M34" s="141">
        <v>3691</v>
      </c>
      <c r="N34" s="141">
        <v>3724</v>
      </c>
    </row>
    <row r="35" spans="2:14" ht="13.5" thickBot="1">
      <c r="B35" s="147" t="s">
        <v>0</v>
      </c>
      <c r="C35" s="170">
        <f aca="true" t="shared" si="0" ref="C35:M35">SUM(C15:C34)</f>
        <v>104605</v>
      </c>
      <c r="D35" s="170">
        <f t="shared" si="0"/>
        <v>106098</v>
      </c>
      <c r="E35" s="170">
        <f t="shared" si="0"/>
        <v>107036</v>
      </c>
      <c r="F35" s="170">
        <f t="shared" si="0"/>
        <v>108038</v>
      </c>
      <c r="G35" s="172">
        <f t="shared" si="0"/>
        <v>109039</v>
      </c>
      <c r="H35" s="170">
        <f t="shared" si="0"/>
        <v>110477</v>
      </c>
      <c r="I35" s="170">
        <f t="shared" si="0"/>
        <v>112089</v>
      </c>
      <c r="J35" s="170">
        <f>SUM(J15:J34)</f>
        <v>112960</v>
      </c>
      <c r="K35" s="170">
        <f t="shared" si="0"/>
        <v>113746</v>
      </c>
      <c r="L35" s="170">
        <f>SUM(L15:L34)</f>
        <v>114576</v>
      </c>
      <c r="M35" s="170">
        <f t="shared" si="0"/>
        <v>115389</v>
      </c>
      <c r="N35" s="170">
        <f>SUM(N15:N34)</f>
        <v>116063</v>
      </c>
    </row>
    <row r="37" spans="5:11" ht="12.75">
      <c r="E37" s="148"/>
      <c r="F37" s="148"/>
      <c r="G37" s="148"/>
      <c r="H37" s="148"/>
      <c r="I37" s="148"/>
      <c r="J37" s="148"/>
      <c r="K37" s="148"/>
    </row>
    <row r="39" spans="2:14" ht="12.75">
      <c r="B39" s="137" t="s">
        <v>9</v>
      </c>
      <c r="C39" s="137"/>
      <c r="D39" s="137"/>
      <c r="E39" s="137"/>
      <c r="F39" s="137"/>
      <c r="G39" s="163"/>
      <c r="H39" s="137"/>
      <c r="I39" s="137"/>
      <c r="J39" s="137"/>
      <c r="K39" s="163"/>
      <c r="L39" s="137"/>
      <c r="M39" s="121"/>
      <c r="N39" s="121"/>
    </row>
    <row r="40" spans="2:17" ht="12.75"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20"/>
      <c r="P40" s="120"/>
      <c r="Q40" s="120"/>
    </row>
    <row r="41" spans="2:14" ht="12.75">
      <c r="B41" s="137" t="s">
        <v>106</v>
      </c>
      <c r="C41" s="137"/>
      <c r="D41" s="137"/>
      <c r="E41" s="137"/>
      <c r="F41" s="137"/>
      <c r="G41" s="163"/>
      <c r="H41" s="137"/>
      <c r="I41" s="137"/>
      <c r="J41" s="137"/>
      <c r="K41" s="163"/>
      <c r="L41" s="137"/>
      <c r="M41" s="121"/>
      <c r="N41" s="121"/>
    </row>
    <row r="42" spans="2:14" ht="12.75" hidden="1">
      <c r="B42" s="357" t="s">
        <v>17</v>
      </c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8"/>
      <c r="N42" s="358"/>
    </row>
    <row r="43" spans="2:14" ht="12.75">
      <c r="B43" s="137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</row>
    <row r="44" spans="2:14" ht="13.5" thickBot="1">
      <c r="B44" s="136"/>
      <c r="C44" s="136"/>
      <c r="D44" s="136"/>
      <c r="E44" s="136"/>
      <c r="F44" s="136"/>
      <c r="G44" s="279"/>
      <c r="H44" s="136"/>
      <c r="I44" s="136"/>
      <c r="J44" s="136"/>
      <c r="K44" s="279"/>
      <c r="L44" s="136"/>
      <c r="M44" s="136"/>
      <c r="N44" s="137"/>
    </row>
    <row r="45" spans="2:14" ht="21" customHeight="1" thickBot="1">
      <c r="B45" s="175" t="s">
        <v>533</v>
      </c>
      <c r="C45" s="174" t="s">
        <v>446</v>
      </c>
      <c r="D45" s="174" t="s">
        <v>448</v>
      </c>
      <c r="E45" s="174" t="s">
        <v>451</v>
      </c>
      <c r="F45" s="13" t="s">
        <v>465</v>
      </c>
      <c r="G45" s="13" t="s">
        <v>480</v>
      </c>
      <c r="H45" s="13" t="s">
        <v>478</v>
      </c>
      <c r="I45" s="13" t="s">
        <v>482</v>
      </c>
      <c r="J45" s="13" t="s">
        <v>484</v>
      </c>
      <c r="K45" s="13" t="s">
        <v>487</v>
      </c>
      <c r="L45" s="13" t="s">
        <v>488</v>
      </c>
      <c r="M45" s="13" t="s">
        <v>529</v>
      </c>
      <c r="N45" s="13" t="s">
        <v>532</v>
      </c>
    </row>
    <row r="46" spans="2:14" ht="12.75">
      <c r="B46" s="149" t="s">
        <v>131</v>
      </c>
      <c r="C46" s="139">
        <f>2285+1</f>
        <v>2286</v>
      </c>
      <c r="D46" s="139">
        <v>2315</v>
      </c>
      <c r="E46" s="139">
        <v>2344</v>
      </c>
      <c r="F46" s="139">
        <v>2367</v>
      </c>
      <c r="G46" s="139">
        <v>2395</v>
      </c>
      <c r="H46" s="139">
        <v>2427</v>
      </c>
      <c r="I46" s="139">
        <v>2484</v>
      </c>
      <c r="J46" s="139">
        <v>2501</v>
      </c>
      <c r="K46" s="139">
        <v>2519</v>
      </c>
      <c r="L46" s="139">
        <v>2560</v>
      </c>
      <c r="M46" s="139">
        <v>2583</v>
      </c>
      <c r="N46" s="139">
        <v>2587</v>
      </c>
    </row>
    <row r="47" spans="2:14" ht="12.75">
      <c r="B47" s="150" t="s">
        <v>132</v>
      </c>
      <c r="C47" s="141">
        <v>1784</v>
      </c>
      <c r="D47" s="141">
        <v>1809</v>
      </c>
      <c r="E47" s="141">
        <v>1832</v>
      </c>
      <c r="F47" s="141">
        <v>1864</v>
      </c>
      <c r="G47" s="141">
        <v>1880</v>
      </c>
      <c r="H47" s="141">
        <v>1906</v>
      </c>
      <c r="I47" s="141">
        <v>1927</v>
      </c>
      <c r="J47" s="141">
        <v>1944</v>
      </c>
      <c r="K47" s="141">
        <v>1969</v>
      </c>
      <c r="L47" s="141">
        <v>1982</v>
      </c>
      <c r="M47" s="141">
        <v>2003</v>
      </c>
      <c r="N47" s="141">
        <v>2014</v>
      </c>
    </row>
    <row r="48" spans="2:14" ht="12.75">
      <c r="B48" s="150" t="s">
        <v>133</v>
      </c>
      <c r="C48" s="141">
        <f>4416+1</f>
        <v>4417</v>
      </c>
      <c r="D48" s="141">
        <v>4487</v>
      </c>
      <c r="E48" s="141">
        <v>4524</v>
      </c>
      <c r="F48" s="141">
        <v>4567</v>
      </c>
      <c r="G48" s="141">
        <v>4608</v>
      </c>
      <c r="H48" s="141">
        <v>4682</v>
      </c>
      <c r="I48" s="141">
        <v>4770</v>
      </c>
      <c r="J48" s="141">
        <v>4824</v>
      </c>
      <c r="K48" s="141">
        <v>4864</v>
      </c>
      <c r="L48" s="141">
        <v>4909</v>
      </c>
      <c r="M48" s="141">
        <v>4937</v>
      </c>
      <c r="N48" s="141">
        <v>4962</v>
      </c>
    </row>
    <row r="49" spans="2:14" ht="12.75">
      <c r="B49" s="150" t="s">
        <v>134</v>
      </c>
      <c r="C49" s="141">
        <f>5254+3</f>
        <v>5257</v>
      </c>
      <c r="D49" s="141">
        <v>5386</v>
      </c>
      <c r="E49" s="141">
        <v>5454</v>
      </c>
      <c r="F49" s="141">
        <v>5529</v>
      </c>
      <c r="G49" s="141">
        <v>5639</v>
      </c>
      <c r="H49" s="141">
        <v>5740</v>
      </c>
      <c r="I49" s="141">
        <v>5868</v>
      </c>
      <c r="J49" s="141">
        <v>5955</v>
      </c>
      <c r="K49" s="141">
        <v>6007</v>
      </c>
      <c r="L49" s="141">
        <v>6077</v>
      </c>
      <c r="M49" s="141">
        <v>6127</v>
      </c>
      <c r="N49" s="141">
        <v>6161</v>
      </c>
    </row>
    <row r="50" spans="2:14" ht="12.75">
      <c r="B50" s="150" t="s">
        <v>135</v>
      </c>
      <c r="C50" s="141">
        <f>5+33249+18</f>
        <v>33272</v>
      </c>
      <c r="D50" s="141">
        <v>34299</v>
      </c>
      <c r="E50" s="141">
        <v>34737</v>
      </c>
      <c r="F50" s="141">
        <v>35204</v>
      </c>
      <c r="G50" s="141">
        <v>35789</v>
      </c>
      <c r="H50" s="141">
        <v>36476</v>
      </c>
      <c r="I50" s="141">
        <v>37306</v>
      </c>
      <c r="J50" s="141">
        <v>37814</v>
      </c>
      <c r="K50" s="141">
        <v>38208</v>
      </c>
      <c r="L50" s="141">
        <v>38634</v>
      </c>
      <c r="M50" s="141">
        <v>39089</v>
      </c>
      <c r="N50" s="141">
        <v>39400</v>
      </c>
    </row>
    <row r="51" spans="2:14" ht="12.75">
      <c r="B51" s="150" t="s">
        <v>136</v>
      </c>
      <c r="C51" s="141">
        <v>1364</v>
      </c>
      <c r="D51" s="141">
        <v>1388</v>
      </c>
      <c r="E51" s="141">
        <v>1401</v>
      </c>
      <c r="F51" s="141">
        <v>1423</v>
      </c>
      <c r="G51" s="141">
        <v>1441</v>
      </c>
      <c r="H51" s="141">
        <v>1457</v>
      </c>
      <c r="I51" s="141">
        <v>1482</v>
      </c>
      <c r="J51" s="141">
        <v>1492</v>
      </c>
      <c r="K51" s="141">
        <v>1502</v>
      </c>
      <c r="L51" s="141">
        <v>1517</v>
      </c>
      <c r="M51" s="141">
        <v>1521</v>
      </c>
      <c r="N51" s="141">
        <v>1528</v>
      </c>
    </row>
    <row r="52" spans="2:14" ht="12.75">
      <c r="B52" s="150" t="s">
        <v>137</v>
      </c>
      <c r="C52" s="141">
        <f>1475+3</f>
        <v>1478</v>
      </c>
      <c r="D52" s="141">
        <v>1505</v>
      </c>
      <c r="E52" s="141">
        <v>1518</v>
      </c>
      <c r="F52" s="141">
        <v>1537</v>
      </c>
      <c r="G52" s="141">
        <v>1559</v>
      </c>
      <c r="H52" s="141">
        <v>1573</v>
      </c>
      <c r="I52" s="141">
        <v>1610</v>
      </c>
      <c r="J52" s="141">
        <v>1614</v>
      </c>
      <c r="K52" s="141">
        <v>1628</v>
      </c>
      <c r="L52" s="141">
        <v>1648</v>
      </c>
      <c r="M52" s="141">
        <v>1675</v>
      </c>
      <c r="N52" s="141">
        <v>1688</v>
      </c>
    </row>
    <row r="53" spans="2:14" ht="12.75">
      <c r="B53" s="150" t="s">
        <v>138</v>
      </c>
      <c r="C53" s="141">
        <f>1036+2</f>
        <v>1038</v>
      </c>
      <c r="D53" s="141">
        <v>1057</v>
      </c>
      <c r="E53" s="141">
        <v>1066</v>
      </c>
      <c r="F53" s="141">
        <v>1068</v>
      </c>
      <c r="G53" s="141">
        <v>1065</v>
      </c>
      <c r="H53" s="141">
        <v>1070</v>
      </c>
      <c r="I53" s="141">
        <v>1088</v>
      </c>
      <c r="J53" s="141">
        <v>1093</v>
      </c>
      <c r="K53" s="141">
        <v>1104</v>
      </c>
      <c r="L53" s="141">
        <v>1112</v>
      </c>
      <c r="M53" s="141">
        <v>1119</v>
      </c>
      <c r="N53" s="141">
        <v>1123</v>
      </c>
    </row>
    <row r="54" spans="2:14" ht="12.75">
      <c r="B54" s="150" t="s">
        <v>139</v>
      </c>
      <c r="C54" s="141">
        <f>2698+1</f>
        <v>2699</v>
      </c>
      <c r="D54" s="141">
        <v>2784</v>
      </c>
      <c r="E54" s="141">
        <v>2826</v>
      </c>
      <c r="F54" s="141">
        <v>2870</v>
      </c>
      <c r="G54" s="141">
        <v>2924</v>
      </c>
      <c r="H54" s="141">
        <v>2988</v>
      </c>
      <c r="I54" s="141">
        <v>3093</v>
      </c>
      <c r="J54" s="141">
        <v>3119</v>
      </c>
      <c r="K54" s="141">
        <v>3164</v>
      </c>
      <c r="L54" s="141">
        <v>3235</v>
      </c>
      <c r="M54" s="141">
        <v>3283</v>
      </c>
      <c r="N54" s="141">
        <v>3318</v>
      </c>
    </row>
    <row r="55" spans="2:14" ht="12.75">
      <c r="B55" s="150" t="s">
        <v>140</v>
      </c>
      <c r="C55" s="141">
        <v>1087</v>
      </c>
      <c r="D55" s="141">
        <v>1105</v>
      </c>
      <c r="E55" s="141">
        <v>1112</v>
      </c>
      <c r="F55" s="141">
        <v>1118</v>
      </c>
      <c r="G55" s="141">
        <v>1121</v>
      </c>
      <c r="H55" s="141">
        <v>1129</v>
      </c>
      <c r="I55" s="141">
        <v>1140</v>
      </c>
      <c r="J55" s="141">
        <v>1143</v>
      </c>
      <c r="K55" s="141">
        <v>1153</v>
      </c>
      <c r="L55" s="141">
        <v>1175</v>
      </c>
      <c r="M55" s="141">
        <v>1183</v>
      </c>
      <c r="N55" s="141">
        <v>1185</v>
      </c>
    </row>
    <row r="56" spans="2:14" ht="12.75">
      <c r="B56" s="150" t="s">
        <v>141</v>
      </c>
      <c r="C56" s="141">
        <v>2095</v>
      </c>
      <c r="D56" s="141">
        <v>2117</v>
      </c>
      <c r="E56" s="141">
        <v>2137</v>
      </c>
      <c r="F56" s="141">
        <v>2150</v>
      </c>
      <c r="G56" s="141">
        <v>2168</v>
      </c>
      <c r="H56" s="141">
        <v>2193</v>
      </c>
      <c r="I56" s="141">
        <v>2224</v>
      </c>
      <c r="J56" s="141">
        <v>2235</v>
      </c>
      <c r="K56" s="141">
        <v>2252</v>
      </c>
      <c r="L56" s="141">
        <v>2275</v>
      </c>
      <c r="M56" s="141">
        <v>2292</v>
      </c>
      <c r="N56" s="141">
        <v>2298</v>
      </c>
    </row>
    <row r="57" spans="2:14" ht="13.5" thickBot="1">
      <c r="B57" s="151" t="s">
        <v>142</v>
      </c>
      <c r="C57" s="141">
        <f>3691+1</f>
        <v>3692</v>
      </c>
      <c r="D57" s="141">
        <v>3770</v>
      </c>
      <c r="E57" s="141">
        <v>3809</v>
      </c>
      <c r="F57" s="141">
        <v>3836</v>
      </c>
      <c r="G57" s="141">
        <v>3867</v>
      </c>
      <c r="H57" s="141">
        <v>3900</v>
      </c>
      <c r="I57" s="141">
        <v>3952</v>
      </c>
      <c r="J57" s="141">
        <v>3992</v>
      </c>
      <c r="K57" s="141">
        <v>4011</v>
      </c>
      <c r="L57" s="141">
        <v>4060</v>
      </c>
      <c r="M57" s="141">
        <v>4109</v>
      </c>
      <c r="N57" s="141">
        <v>4132</v>
      </c>
    </row>
    <row r="58" spans="2:14" ht="13.5" thickBot="1">
      <c r="B58" s="147" t="s">
        <v>0</v>
      </c>
      <c r="C58" s="170">
        <f aca="true" t="shared" si="1" ref="C58:M58">SUM(C46:C57)</f>
        <v>60469</v>
      </c>
      <c r="D58" s="170">
        <f t="shared" si="1"/>
        <v>62022</v>
      </c>
      <c r="E58" s="170">
        <f t="shared" si="1"/>
        <v>62760</v>
      </c>
      <c r="F58" s="170">
        <f t="shared" si="1"/>
        <v>63533</v>
      </c>
      <c r="G58" s="172">
        <f t="shared" si="1"/>
        <v>64456</v>
      </c>
      <c r="H58" s="170">
        <f t="shared" si="1"/>
        <v>65541</v>
      </c>
      <c r="I58" s="170">
        <f t="shared" si="1"/>
        <v>66944</v>
      </c>
      <c r="J58" s="170">
        <f>SUM(J46:J57)</f>
        <v>67726</v>
      </c>
      <c r="K58" s="170">
        <f t="shared" si="1"/>
        <v>68381</v>
      </c>
      <c r="L58" s="170">
        <f>SUM(L46:L57)</f>
        <v>69184</v>
      </c>
      <c r="M58" s="170">
        <f t="shared" si="1"/>
        <v>69921</v>
      </c>
      <c r="N58" s="170">
        <f>SUM(N46:N57)</f>
        <v>70396</v>
      </c>
    </row>
    <row r="60" spans="5:11" ht="12.75">
      <c r="E60" s="148"/>
      <c r="F60" s="148"/>
      <c r="G60" s="148"/>
      <c r="H60" s="148"/>
      <c r="J60" s="148"/>
      <c r="K60" s="148"/>
    </row>
    <row r="62" spans="2:14" ht="12.75">
      <c r="B62" s="137" t="s">
        <v>10</v>
      </c>
      <c r="C62" s="137"/>
      <c r="D62" s="137"/>
      <c r="E62" s="137"/>
      <c r="F62" s="137"/>
      <c r="G62" s="163"/>
      <c r="H62" s="137"/>
      <c r="I62" s="137"/>
      <c r="J62" s="137"/>
      <c r="K62" s="163"/>
      <c r="L62" s="137"/>
      <c r="M62" s="121"/>
      <c r="N62" s="121"/>
    </row>
    <row r="63" spans="2:17" ht="12.75"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20"/>
      <c r="P63" s="120"/>
      <c r="Q63" s="120"/>
    </row>
    <row r="64" ht="12.75">
      <c r="B64" s="163" t="s">
        <v>106</v>
      </c>
    </row>
    <row r="65" spans="2:14" ht="12.75">
      <c r="B65" s="137"/>
      <c r="C65" s="137"/>
      <c r="D65" s="137"/>
      <c r="E65" s="137"/>
      <c r="F65" s="137"/>
      <c r="G65" s="163"/>
      <c r="H65" s="137"/>
      <c r="I65" s="137"/>
      <c r="J65" s="137"/>
      <c r="K65" s="163"/>
      <c r="L65" s="137"/>
      <c r="M65" s="121"/>
      <c r="N65" s="121"/>
    </row>
    <row r="66" ht="13.5" thickBot="1"/>
    <row r="67" spans="2:14" ht="21" customHeight="1" thickBot="1">
      <c r="B67" s="175" t="s">
        <v>533</v>
      </c>
      <c r="C67" s="13" t="s">
        <v>446</v>
      </c>
      <c r="D67" s="13" t="s">
        <v>448</v>
      </c>
      <c r="E67" s="13" t="s">
        <v>451</v>
      </c>
      <c r="F67" s="13" t="s">
        <v>465</v>
      </c>
      <c r="G67" s="13" t="s">
        <v>480</v>
      </c>
      <c r="H67" s="13" t="s">
        <v>478</v>
      </c>
      <c r="I67" s="13" t="s">
        <v>482</v>
      </c>
      <c r="J67" s="13" t="s">
        <v>484</v>
      </c>
      <c r="K67" s="13" t="s">
        <v>487</v>
      </c>
      <c r="L67" s="13" t="s">
        <v>488</v>
      </c>
      <c r="M67" s="13" t="s">
        <v>529</v>
      </c>
      <c r="N67" s="13" t="s">
        <v>532</v>
      </c>
    </row>
    <row r="68" spans="2:14" ht="12.75">
      <c r="B68" s="152" t="s">
        <v>143</v>
      </c>
      <c r="C68" s="281">
        <f>16667+10</f>
        <v>16677</v>
      </c>
      <c r="D68" s="281">
        <v>17089</v>
      </c>
      <c r="E68" s="281">
        <v>17263</v>
      </c>
      <c r="F68" s="281">
        <v>17460</v>
      </c>
      <c r="G68" s="281">
        <v>17718</v>
      </c>
      <c r="H68" s="281">
        <v>18013</v>
      </c>
      <c r="I68" s="281">
        <v>18373</v>
      </c>
      <c r="J68" s="281">
        <v>18572</v>
      </c>
      <c r="K68" s="129">
        <v>18736</v>
      </c>
      <c r="L68" s="281">
        <v>18900</v>
      </c>
      <c r="M68" s="281">
        <v>19080</v>
      </c>
      <c r="N68" s="281">
        <v>19212</v>
      </c>
    </row>
    <row r="69" spans="2:14" ht="12.75">
      <c r="B69" s="153" t="s">
        <v>144</v>
      </c>
      <c r="C69" s="129">
        <f>3477+2</f>
        <v>3479</v>
      </c>
      <c r="D69" s="129">
        <v>3570</v>
      </c>
      <c r="E69" s="129">
        <v>3621</v>
      </c>
      <c r="F69" s="129">
        <v>3673</v>
      </c>
      <c r="G69" s="129">
        <v>3731</v>
      </c>
      <c r="H69" s="129">
        <v>3792</v>
      </c>
      <c r="I69" s="129">
        <v>3905</v>
      </c>
      <c r="J69" s="129">
        <v>3961</v>
      </c>
      <c r="K69" s="129">
        <v>3993</v>
      </c>
      <c r="L69" s="129">
        <v>4011</v>
      </c>
      <c r="M69" s="129">
        <v>4041</v>
      </c>
      <c r="N69" s="129">
        <v>4068</v>
      </c>
    </row>
    <row r="70" spans="2:14" ht="12.75">
      <c r="B70" s="153" t="s">
        <v>145</v>
      </c>
      <c r="C70" s="129">
        <v>2335</v>
      </c>
      <c r="D70" s="129">
        <v>2361</v>
      </c>
      <c r="E70" s="129">
        <v>2368</v>
      </c>
      <c r="F70" s="129">
        <v>2377</v>
      </c>
      <c r="G70" s="129">
        <v>2388</v>
      </c>
      <c r="H70" s="129">
        <v>2411</v>
      </c>
      <c r="I70" s="129">
        <v>2436</v>
      </c>
      <c r="J70" s="129">
        <v>2449</v>
      </c>
      <c r="K70" s="129">
        <v>2459</v>
      </c>
      <c r="L70" s="129">
        <v>2482</v>
      </c>
      <c r="M70" s="129">
        <v>2497</v>
      </c>
      <c r="N70" s="129">
        <v>2511</v>
      </c>
    </row>
    <row r="71" spans="2:14" ht="12.75">
      <c r="B71" s="153" t="s">
        <v>146</v>
      </c>
      <c r="C71" s="129">
        <v>1017</v>
      </c>
      <c r="D71" s="129">
        <v>1034</v>
      </c>
      <c r="E71" s="129">
        <v>1052</v>
      </c>
      <c r="F71" s="129">
        <v>1070</v>
      </c>
      <c r="G71" s="129">
        <v>1083</v>
      </c>
      <c r="H71" s="129">
        <v>1111</v>
      </c>
      <c r="I71" s="129">
        <v>1133</v>
      </c>
      <c r="J71" s="129">
        <v>1146</v>
      </c>
      <c r="K71" s="129">
        <v>1160</v>
      </c>
      <c r="L71" s="129">
        <v>1179</v>
      </c>
      <c r="M71" s="129">
        <v>1189</v>
      </c>
      <c r="N71" s="129">
        <v>1197</v>
      </c>
    </row>
    <row r="72" spans="2:14" ht="12.75">
      <c r="B72" s="153" t="s">
        <v>147</v>
      </c>
      <c r="C72" s="165">
        <f>2641+2</f>
        <v>2643</v>
      </c>
      <c r="D72" s="165">
        <v>2697</v>
      </c>
      <c r="E72" s="165">
        <v>2719</v>
      </c>
      <c r="F72" s="165">
        <v>2738</v>
      </c>
      <c r="G72" s="165">
        <v>2767</v>
      </c>
      <c r="H72" s="165">
        <v>2808</v>
      </c>
      <c r="I72" s="165">
        <v>2851</v>
      </c>
      <c r="J72" s="165">
        <v>2880</v>
      </c>
      <c r="K72" s="129">
        <v>2905</v>
      </c>
      <c r="L72" s="129">
        <v>2920</v>
      </c>
      <c r="M72" s="129">
        <v>2942</v>
      </c>
      <c r="N72" s="129">
        <v>2960</v>
      </c>
    </row>
    <row r="73" spans="2:14" ht="12.75">
      <c r="B73" s="153" t="s">
        <v>148</v>
      </c>
      <c r="C73" s="129">
        <v>1776</v>
      </c>
      <c r="D73" s="129">
        <v>1804</v>
      </c>
      <c r="E73" s="129">
        <v>1813</v>
      </c>
      <c r="F73" s="129">
        <v>1829</v>
      </c>
      <c r="G73" s="129">
        <v>1833</v>
      </c>
      <c r="H73" s="129">
        <v>1853</v>
      </c>
      <c r="I73" s="129">
        <v>1866</v>
      </c>
      <c r="J73" s="129">
        <v>1875</v>
      </c>
      <c r="K73" s="129">
        <v>1883</v>
      </c>
      <c r="L73" s="129">
        <v>1905</v>
      </c>
      <c r="M73" s="129">
        <v>1917</v>
      </c>
      <c r="N73" s="129">
        <v>1926</v>
      </c>
    </row>
    <row r="74" spans="2:14" ht="12.75">
      <c r="B74" s="153" t="s">
        <v>149</v>
      </c>
      <c r="C74" s="129">
        <f>6463+3</f>
        <v>6466</v>
      </c>
      <c r="D74" s="129">
        <v>6625</v>
      </c>
      <c r="E74" s="129">
        <v>6681</v>
      </c>
      <c r="F74" s="129">
        <v>6733</v>
      </c>
      <c r="G74" s="129">
        <v>6810</v>
      </c>
      <c r="H74" s="129">
        <v>6907</v>
      </c>
      <c r="I74" s="129">
        <v>7020</v>
      </c>
      <c r="J74" s="129">
        <v>7094</v>
      </c>
      <c r="K74" s="129">
        <v>7158</v>
      </c>
      <c r="L74" s="129">
        <v>7215</v>
      </c>
      <c r="M74" s="129">
        <v>7279</v>
      </c>
      <c r="N74" s="129">
        <v>7351</v>
      </c>
    </row>
    <row r="75" spans="2:14" ht="12.75">
      <c r="B75" s="153" t="s">
        <v>150</v>
      </c>
      <c r="C75" s="129">
        <v>1578</v>
      </c>
      <c r="D75" s="129">
        <v>1587</v>
      </c>
      <c r="E75" s="129">
        <v>1594</v>
      </c>
      <c r="F75" s="129">
        <v>1603</v>
      </c>
      <c r="G75" s="129">
        <v>1625</v>
      </c>
      <c r="H75" s="129">
        <v>1651</v>
      </c>
      <c r="I75" s="129">
        <v>1676</v>
      </c>
      <c r="J75" s="129">
        <v>1685</v>
      </c>
      <c r="K75" s="129">
        <v>1699</v>
      </c>
      <c r="L75" s="129">
        <v>1710</v>
      </c>
      <c r="M75" s="129">
        <v>1715</v>
      </c>
      <c r="N75" s="129">
        <v>1722</v>
      </c>
    </row>
    <row r="76" spans="2:14" ht="12.75">
      <c r="B76" s="153" t="s">
        <v>151</v>
      </c>
      <c r="C76" s="129">
        <v>1057</v>
      </c>
      <c r="D76" s="129">
        <v>1071</v>
      </c>
      <c r="E76" s="129">
        <v>1082</v>
      </c>
      <c r="F76" s="129">
        <v>1086</v>
      </c>
      <c r="G76" s="129">
        <v>1098</v>
      </c>
      <c r="H76" s="129">
        <v>1113</v>
      </c>
      <c r="I76" s="129">
        <v>1131</v>
      </c>
      <c r="J76" s="129">
        <v>1136</v>
      </c>
      <c r="K76" s="129">
        <v>1144</v>
      </c>
      <c r="L76" s="129">
        <v>1151</v>
      </c>
      <c r="M76" s="129">
        <v>1157</v>
      </c>
      <c r="N76" s="129">
        <v>1163</v>
      </c>
    </row>
    <row r="77" spans="2:14" ht="12.75">
      <c r="B77" s="153" t="s">
        <v>152</v>
      </c>
      <c r="C77" s="129">
        <f>4347+1</f>
        <v>4348</v>
      </c>
      <c r="D77" s="129">
        <v>4388</v>
      </c>
      <c r="E77" s="129">
        <v>4421</v>
      </c>
      <c r="F77" s="129">
        <v>4449</v>
      </c>
      <c r="G77" s="129">
        <v>4493</v>
      </c>
      <c r="H77" s="129">
        <v>4553</v>
      </c>
      <c r="I77" s="129">
        <v>4615</v>
      </c>
      <c r="J77" s="129">
        <v>4646</v>
      </c>
      <c r="K77" s="129">
        <v>4681</v>
      </c>
      <c r="L77" s="129">
        <v>4730</v>
      </c>
      <c r="M77" s="129">
        <v>4771</v>
      </c>
      <c r="N77" s="129">
        <v>4798</v>
      </c>
    </row>
    <row r="78" spans="2:14" ht="12.75">
      <c r="B78" s="153" t="s">
        <v>153</v>
      </c>
      <c r="C78" s="129">
        <f>9327+9</f>
        <v>9336</v>
      </c>
      <c r="D78" s="129">
        <v>9508</v>
      </c>
      <c r="E78" s="129">
        <v>9589</v>
      </c>
      <c r="F78" s="129">
        <v>9688</v>
      </c>
      <c r="G78" s="129">
        <v>9793</v>
      </c>
      <c r="H78" s="129">
        <v>9971</v>
      </c>
      <c r="I78" s="129">
        <v>10124</v>
      </c>
      <c r="J78" s="129">
        <v>10196</v>
      </c>
      <c r="K78" s="129">
        <v>10272</v>
      </c>
      <c r="L78" s="129">
        <v>10371</v>
      </c>
      <c r="M78" s="129">
        <v>10448</v>
      </c>
      <c r="N78" s="129">
        <v>10517</v>
      </c>
    </row>
    <row r="79" spans="2:14" ht="12.75">
      <c r="B79" s="153" t="s">
        <v>154</v>
      </c>
      <c r="C79" s="129">
        <v>1811</v>
      </c>
      <c r="D79" s="129">
        <v>1836</v>
      </c>
      <c r="E79" s="129">
        <v>1863</v>
      </c>
      <c r="F79" s="129">
        <v>1889</v>
      </c>
      <c r="G79" s="129">
        <v>1919</v>
      </c>
      <c r="H79" s="129">
        <v>1956</v>
      </c>
      <c r="I79" s="129">
        <v>1988</v>
      </c>
      <c r="J79" s="129">
        <v>2026</v>
      </c>
      <c r="K79" s="129">
        <v>2044</v>
      </c>
      <c r="L79" s="129">
        <v>2065</v>
      </c>
      <c r="M79" s="129">
        <v>2085</v>
      </c>
      <c r="N79" s="129">
        <v>2095</v>
      </c>
    </row>
    <row r="80" spans="2:14" ht="12.75">
      <c r="B80" s="153" t="s">
        <v>155</v>
      </c>
      <c r="C80" s="129">
        <v>2302</v>
      </c>
      <c r="D80" s="129">
        <v>2357</v>
      </c>
      <c r="E80" s="129">
        <v>2384</v>
      </c>
      <c r="F80" s="129">
        <v>2409</v>
      </c>
      <c r="G80" s="129">
        <v>2435</v>
      </c>
      <c r="H80" s="129">
        <v>2465</v>
      </c>
      <c r="I80" s="129">
        <v>2520</v>
      </c>
      <c r="J80" s="129">
        <v>2543</v>
      </c>
      <c r="K80" s="129">
        <v>2564</v>
      </c>
      <c r="L80" s="129">
        <v>2589</v>
      </c>
      <c r="M80" s="129">
        <v>2622</v>
      </c>
      <c r="N80" s="129">
        <v>2640</v>
      </c>
    </row>
    <row r="81" spans="2:14" ht="12.75">
      <c r="B81" s="153" t="s">
        <v>156</v>
      </c>
      <c r="C81" s="129">
        <f>5183+6</f>
        <v>5189</v>
      </c>
      <c r="D81" s="129">
        <v>5257</v>
      </c>
      <c r="E81" s="129">
        <v>5286</v>
      </c>
      <c r="F81" s="129">
        <v>5329</v>
      </c>
      <c r="G81" s="129">
        <v>5369</v>
      </c>
      <c r="H81" s="129">
        <v>5445</v>
      </c>
      <c r="I81" s="129">
        <v>5531</v>
      </c>
      <c r="J81" s="129">
        <v>5583</v>
      </c>
      <c r="K81" s="129">
        <v>5608</v>
      </c>
      <c r="L81" s="129">
        <v>5639</v>
      </c>
      <c r="M81" s="129">
        <v>5693</v>
      </c>
      <c r="N81" s="129">
        <v>5736</v>
      </c>
    </row>
    <row r="82" spans="2:14" ht="12.75">
      <c r="B82" s="153" t="s">
        <v>157</v>
      </c>
      <c r="C82" s="129">
        <v>1008</v>
      </c>
      <c r="D82" s="129">
        <v>1018</v>
      </c>
      <c r="E82" s="129">
        <v>1022</v>
      </c>
      <c r="F82" s="129">
        <v>1029</v>
      </c>
      <c r="G82" s="129">
        <v>1032</v>
      </c>
      <c r="H82" s="129">
        <v>1041</v>
      </c>
      <c r="I82" s="129">
        <v>1058</v>
      </c>
      <c r="J82" s="129">
        <v>1061</v>
      </c>
      <c r="K82" s="129">
        <v>1062</v>
      </c>
      <c r="L82" s="129">
        <v>1074</v>
      </c>
      <c r="M82" s="129">
        <v>1075</v>
      </c>
      <c r="N82" s="129">
        <v>1081</v>
      </c>
    </row>
    <row r="83" spans="2:14" ht="12.75">
      <c r="B83" s="153" t="s">
        <v>158</v>
      </c>
      <c r="C83" s="129">
        <v>2368</v>
      </c>
      <c r="D83" s="129">
        <v>2412</v>
      </c>
      <c r="E83" s="129">
        <v>2433</v>
      </c>
      <c r="F83" s="129">
        <v>2457</v>
      </c>
      <c r="G83" s="129">
        <v>2479</v>
      </c>
      <c r="H83" s="129">
        <v>2505</v>
      </c>
      <c r="I83" s="129">
        <v>2552</v>
      </c>
      <c r="J83" s="129">
        <v>2570</v>
      </c>
      <c r="K83" s="129">
        <v>2594</v>
      </c>
      <c r="L83" s="129">
        <v>2631</v>
      </c>
      <c r="M83" s="129">
        <v>2666</v>
      </c>
      <c r="N83" s="129">
        <v>2678</v>
      </c>
    </row>
    <row r="84" spans="2:14" ht="13.5" thickBot="1">
      <c r="B84" s="154" t="s">
        <v>159</v>
      </c>
      <c r="C84" s="129">
        <v>1164</v>
      </c>
      <c r="D84" s="129">
        <v>1174</v>
      </c>
      <c r="E84" s="129">
        <v>1189</v>
      </c>
      <c r="F84" s="129">
        <v>1194</v>
      </c>
      <c r="G84" s="129">
        <v>1210</v>
      </c>
      <c r="H84" s="129">
        <v>1217</v>
      </c>
      <c r="I84" s="129">
        <v>1237</v>
      </c>
      <c r="J84" s="129">
        <v>1249</v>
      </c>
      <c r="K84" s="129">
        <v>1264</v>
      </c>
      <c r="L84" s="129">
        <v>1270</v>
      </c>
      <c r="M84" s="129">
        <v>1277</v>
      </c>
      <c r="N84" s="129">
        <v>1283</v>
      </c>
    </row>
    <row r="85" spans="2:14" ht="13.5" thickBot="1">
      <c r="B85" s="114" t="s">
        <v>0</v>
      </c>
      <c r="C85" s="170">
        <f aca="true" t="shared" si="2" ref="C85:M85">SUM(C68:C84)</f>
        <v>64554</v>
      </c>
      <c r="D85" s="170">
        <f t="shared" si="2"/>
        <v>65788</v>
      </c>
      <c r="E85" s="170">
        <f t="shared" si="2"/>
        <v>66380</v>
      </c>
      <c r="F85" s="170">
        <f t="shared" si="2"/>
        <v>67013</v>
      </c>
      <c r="G85" s="172">
        <f t="shared" si="2"/>
        <v>67783</v>
      </c>
      <c r="H85" s="170">
        <f t="shared" si="2"/>
        <v>68812</v>
      </c>
      <c r="I85" s="170">
        <f t="shared" si="2"/>
        <v>70016</v>
      </c>
      <c r="J85" s="170">
        <f>SUM(J68:J84)</f>
        <v>70672</v>
      </c>
      <c r="K85" s="170">
        <f t="shared" si="2"/>
        <v>71226</v>
      </c>
      <c r="L85" s="170">
        <f>SUM(L68:L84)</f>
        <v>71842</v>
      </c>
      <c r="M85" s="170">
        <f t="shared" si="2"/>
        <v>72454</v>
      </c>
      <c r="N85" s="170">
        <f>SUM(N68:N84)</f>
        <v>72938</v>
      </c>
    </row>
    <row r="87" spans="5:11" ht="12.75">
      <c r="E87" s="148"/>
      <c r="F87" s="148"/>
      <c r="G87" s="148"/>
      <c r="H87" s="148"/>
      <c r="I87" s="148"/>
      <c r="J87" s="148"/>
      <c r="K87" s="148"/>
    </row>
    <row r="89" spans="2:14" ht="12.75">
      <c r="B89" s="137" t="s">
        <v>11</v>
      </c>
      <c r="C89" s="137"/>
      <c r="D89" s="137"/>
      <c r="E89" s="137"/>
      <c r="F89" s="137"/>
      <c r="G89" s="163"/>
      <c r="H89" s="137"/>
      <c r="I89" s="137"/>
      <c r="J89" s="137"/>
      <c r="K89" s="163"/>
      <c r="L89" s="137"/>
      <c r="M89" s="121"/>
      <c r="N89" s="121"/>
    </row>
    <row r="90" spans="2:17" ht="12.75"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20"/>
      <c r="P90" s="120"/>
      <c r="Q90" s="120"/>
    </row>
    <row r="91" spans="2:14" ht="12.75">
      <c r="B91" s="137" t="s">
        <v>106</v>
      </c>
      <c r="C91" s="137"/>
      <c r="D91" s="137"/>
      <c r="E91" s="137"/>
      <c r="F91" s="137"/>
      <c r="G91" s="163"/>
      <c r="H91" s="137"/>
      <c r="I91" s="137"/>
      <c r="J91" s="137"/>
      <c r="K91" s="163"/>
      <c r="L91" s="137"/>
      <c r="M91" s="121"/>
      <c r="N91" s="121"/>
    </row>
    <row r="93" ht="13.5" thickBot="1"/>
    <row r="94" spans="2:14" ht="21" customHeight="1" thickBot="1">
      <c r="B94" s="175" t="s">
        <v>533</v>
      </c>
      <c r="C94" s="13" t="s">
        <v>446</v>
      </c>
      <c r="D94" s="13" t="s">
        <v>448</v>
      </c>
      <c r="E94" s="13" t="s">
        <v>451</v>
      </c>
      <c r="F94" s="13" t="s">
        <v>465</v>
      </c>
      <c r="G94" s="13" t="s">
        <v>480</v>
      </c>
      <c r="H94" s="13" t="s">
        <v>478</v>
      </c>
      <c r="I94" s="13" t="s">
        <v>482</v>
      </c>
      <c r="J94" s="13" t="s">
        <v>484</v>
      </c>
      <c r="K94" s="13" t="s">
        <v>487</v>
      </c>
      <c r="L94" s="13" t="s">
        <v>488</v>
      </c>
      <c r="M94" s="13" t="s">
        <v>529</v>
      </c>
      <c r="N94" s="13" t="s">
        <v>532</v>
      </c>
    </row>
    <row r="95" spans="2:14" ht="12.75">
      <c r="B95" s="152" t="s">
        <v>160</v>
      </c>
      <c r="C95" s="281">
        <v>1403</v>
      </c>
      <c r="D95" s="281">
        <v>1420</v>
      </c>
      <c r="E95" s="281">
        <v>1429</v>
      </c>
      <c r="F95" s="281">
        <v>1453</v>
      </c>
      <c r="G95" s="281">
        <v>1478</v>
      </c>
      <c r="H95" s="281">
        <v>1500</v>
      </c>
      <c r="I95" s="281">
        <v>1525</v>
      </c>
      <c r="J95" s="281">
        <v>1538</v>
      </c>
      <c r="K95" s="129">
        <v>1550</v>
      </c>
      <c r="L95" s="129">
        <v>1565</v>
      </c>
      <c r="M95" s="129">
        <v>1595</v>
      </c>
      <c r="N95" s="129">
        <v>1606</v>
      </c>
    </row>
    <row r="96" spans="2:14" ht="12.75">
      <c r="B96" s="155" t="s">
        <v>161</v>
      </c>
      <c r="C96" s="129">
        <f>2614+1</f>
        <v>2615</v>
      </c>
      <c r="D96" s="129">
        <v>2674</v>
      </c>
      <c r="E96" s="129">
        <v>2706</v>
      </c>
      <c r="F96" s="129">
        <v>2766</v>
      </c>
      <c r="G96" s="129">
        <v>2821</v>
      </c>
      <c r="H96" s="129">
        <v>2873</v>
      </c>
      <c r="I96" s="129">
        <v>2964</v>
      </c>
      <c r="J96" s="129">
        <v>3004</v>
      </c>
      <c r="K96" s="129">
        <v>3035</v>
      </c>
      <c r="L96" s="129">
        <v>3092</v>
      </c>
      <c r="M96" s="129">
        <v>3135</v>
      </c>
      <c r="N96" s="129">
        <v>3165</v>
      </c>
    </row>
    <row r="97" spans="2:14" ht="12.75">
      <c r="B97" s="153" t="s">
        <v>162</v>
      </c>
      <c r="C97" s="129">
        <f>1051+2</f>
        <v>1053</v>
      </c>
      <c r="D97" s="129">
        <v>1058</v>
      </c>
      <c r="E97" s="129">
        <v>1063</v>
      </c>
      <c r="F97" s="129">
        <v>1087</v>
      </c>
      <c r="G97" s="129">
        <v>1099</v>
      </c>
      <c r="H97" s="129">
        <v>1107</v>
      </c>
      <c r="I97" s="129">
        <v>1121</v>
      </c>
      <c r="J97" s="129">
        <v>1122</v>
      </c>
      <c r="K97" s="129">
        <v>1127</v>
      </c>
      <c r="L97" s="129">
        <v>1132</v>
      </c>
      <c r="M97" s="129">
        <v>1147</v>
      </c>
      <c r="N97" s="129">
        <v>1147</v>
      </c>
    </row>
    <row r="98" spans="2:14" ht="12.75">
      <c r="B98" s="153" t="s">
        <v>163</v>
      </c>
      <c r="C98" s="129">
        <f>2846+1</f>
        <v>2847</v>
      </c>
      <c r="D98" s="129">
        <v>2878</v>
      </c>
      <c r="E98" s="129">
        <v>2901</v>
      </c>
      <c r="F98" s="129">
        <v>2927</v>
      </c>
      <c r="G98" s="129">
        <v>2956</v>
      </c>
      <c r="H98" s="129">
        <v>3000</v>
      </c>
      <c r="I98" s="129">
        <v>3045</v>
      </c>
      <c r="J98" s="129">
        <v>3067</v>
      </c>
      <c r="K98" s="129">
        <v>3090</v>
      </c>
      <c r="L98" s="129">
        <v>3138</v>
      </c>
      <c r="M98" s="129">
        <v>3189</v>
      </c>
      <c r="N98" s="129">
        <v>3211</v>
      </c>
    </row>
    <row r="99" spans="2:14" ht="12.75">
      <c r="B99" s="153" t="s">
        <v>444</v>
      </c>
      <c r="C99" s="129">
        <v>42</v>
      </c>
      <c r="D99" s="129">
        <v>60</v>
      </c>
      <c r="E99" s="129">
        <v>85</v>
      </c>
      <c r="F99" s="129">
        <v>107</v>
      </c>
      <c r="G99" s="129">
        <v>123</v>
      </c>
      <c r="H99" s="129">
        <v>137</v>
      </c>
      <c r="I99" s="129">
        <v>160</v>
      </c>
      <c r="J99" s="129">
        <v>175</v>
      </c>
      <c r="K99" s="129">
        <v>186</v>
      </c>
      <c r="L99" s="129">
        <v>203</v>
      </c>
      <c r="M99" s="129">
        <v>220</v>
      </c>
      <c r="N99" s="129">
        <v>231</v>
      </c>
    </row>
    <row r="100" spans="2:14" ht="12.75">
      <c r="B100" s="153" t="s">
        <v>164</v>
      </c>
      <c r="C100" s="129">
        <f>1385+1</f>
        <v>1386</v>
      </c>
      <c r="D100" s="129">
        <v>1398</v>
      </c>
      <c r="E100" s="129">
        <v>1410</v>
      </c>
      <c r="F100" s="129">
        <v>1411</v>
      </c>
      <c r="G100" s="129">
        <v>1422</v>
      </c>
      <c r="H100" s="129">
        <v>1435</v>
      </c>
      <c r="I100" s="129">
        <v>1468</v>
      </c>
      <c r="J100" s="129">
        <v>1494</v>
      </c>
      <c r="K100" s="129">
        <v>1499</v>
      </c>
      <c r="L100" s="129">
        <v>1514</v>
      </c>
      <c r="M100" s="129">
        <v>1528</v>
      </c>
      <c r="N100" s="129">
        <v>1527</v>
      </c>
    </row>
    <row r="101" spans="2:14" ht="12.75">
      <c r="B101" s="153" t="s">
        <v>165</v>
      </c>
      <c r="C101" s="129">
        <f>7602+6</f>
        <v>7608</v>
      </c>
      <c r="D101" s="129">
        <v>7746</v>
      </c>
      <c r="E101" s="129">
        <v>7853</v>
      </c>
      <c r="F101" s="129">
        <v>7963</v>
      </c>
      <c r="G101" s="129">
        <v>8061</v>
      </c>
      <c r="H101" s="129">
        <v>8218</v>
      </c>
      <c r="I101" s="129">
        <v>8443</v>
      </c>
      <c r="J101" s="129">
        <v>8544</v>
      </c>
      <c r="K101" s="129">
        <v>8622</v>
      </c>
      <c r="L101" s="129">
        <v>8739</v>
      </c>
      <c r="M101" s="129">
        <v>8844</v>
      </c>
      <c r="N101" s="129">
        <v>8914</v>
      </c>
    </row>
    <row r="102" spans="2:14" ht="12.75">
      <c r="B102" s="153" t="s">
        <v>166</v>
      </c>
      <c r="C102" s="129">
        <v>2854</v>
      </c>
      <c r="D102" s="129">
        <v>2903</v>
      </c>
      <c r="E102" s="129">
        <v>2917</v>
      </c>
      <c r="F102" s="129">
        <v>2928</v>
      </c>
      <c r="G102" s="129">
        <v>2947</v>
      </c>
      <c r="H102" s="129">
        <v>2980</v>
      </c>
      <c r="I102" s="129">
        <v>3028</v>
      </c>
      <c r="J102" s="129">
        <v>3050</v>
      </c>
      <c r="K102" s="129">
        <v>3071</v>
      </c>
      <c r="L102" s="129">
        <v>3102</v>
      </c>
      <c r="M102" s="129">
        <v>3125</v>
      </c>
      <c r="N102" s="129">
        <v>3150</v>
      </c>
    </row>
    <row r="103" spans="2:14" ht="12.75">
      <c r="B103" s="153" t="s">
        <v>167</v>
      </c>
      <c r="C103" s="129">
        <v>1788</v>
      </c>
      <c r="D103" s="129">
        <v>1822</v>
      </c>
      <c r="E103" s="129">
        <v>1838</v>
      </c>
      <c r="F103" s="129">
        <v>1870</v>
      </c>
      <c r="G103" s="129">
        <v>1882</v>
      </c>
      <c r="H103" s="129">
        <v>1916</v>
      </c>
      <c r="I103" s="129">
        <v>1960</v>
      </c>
      <c r="J103" s="129">
        <v>1990</v>
      </c>
      <c r="K103" s="129">
        <v>2014</v>
      </c>
      <c r="L103" s="129">
        <v>2041</v>
      </c>
      <c r="M103" s="129">
        <v>2054</v>
      </c>
      <c r="N103" s="129">
        <v>2069</v>
      </c>
    </row>
    <row r="104" spans="2:14" ht="12.75">
      <c r="B104" s="153" t="s">
        <v>168</v>
      </c>
      <c r="C104" s="129">
        <f>6512+2</f>
        <v>6514</v>
      </c>
      <c r="D104" s="129">
        <v>6658</v>
      </c>
      <c r="E104" s="129">
        <v>6711</v>
      </c>
      <c r="F104" s="129">
        <v>6779</v>
      </c>
      <c r="G104" s="129">
        <v>6858</v>
      </c>
      <c r="H104" s="129">
        <v>6988</v>
      </c>
      <c r="I104" s="129">
        <v>7216</v>
      </c>
      <c r="J104" s="129">
        <v>7294</v>
      </c>
      <c r="K104" s="129">
        <v>7354</v>
      </c>
      <c r="L104" s="129">
        <v>7415</v>
      </c>
      <c r="M104" s="129">
        <v>7459</v>
      </c>
      <c r="N104" s="129">
        <v>7519</v>
      </c>
    </row>
    <row r="105" spans="2:14" ht="12.75">
      <c r="B105" s="153" t="s">
        <v>169</v>
      </c>
      <c r="C105" s="129">
        <f>1436+2</f>
        <v>1438</v>
      </c>
      <c r="D105" s="129">
        <v>1450</v>
      </c>
      <c r="E105" s="129">
        <v>1453</v>
      </c>
      <c r="F105" s="129">
        <v>1469</v>
      </c>
      <c r="G105" s="129">
        <v>1481</v>
      </c>
      <c r="H105" s="129">
        <v>1490</v>
      </c>
      <c r="I105" s="129">
        <v>1522</v>
      </c>
      <c r="J105" s="129">
        <v>1528</v>
      </c>
      <c r="K105" s="129">
        <v>1535</v>
      </c>
      <c r="L105" s="129">
        <v>1547</v>
      </c>
      <c r="M105" s="129">
        <v>1555</v>
      </c>
      <c r="N105" s="129">
        <v>1559</v>
      </c>
    </row>
    <row r="106" spans="2:14" ht="12.75">
      <c r="B106" s="153" t="s">
        <v>170</v>
      </c>
      <c r="C106" s="129">
        <f>3585+2</f>
        <v>3587</v>
      </c>
      <c r="D106" s="129">
        <v>3610</v>
      </c>
      <c r="E106" s="129">
        <v>3617</v>
      </c>
      <c r="F106" s="129">
        <v>3622</v>
      </c>
      <c r="G106" s="129">
        <v>3623</v>
      </c>
      <c r="H106" s="129">
        <v>3647</v>
      </c>
      <c r="I106" s="129">
        <v>3665</v>
      </c>
      <c r="J106" s="129">
        <v>3683</v>
      </c>
      <c r="K106" s="129">
        <v>3691</v>
      </c>
      <c r="L106" s="129">
        <v>3707</v>
      </c>
      <c r="M106" s="129">
        <v>3726</v>
      </c>
      <c r="N106" s="129">
        <v>3731</v>
      </c>
    </row>
    <row r="107" spans="2:14" ht="12.75">
      <c r="B107" s="153" t="s">
        <v>171</v>
      </c>
      <c r="C107" s="129">
        <f>28188+24</f>
        <v>28212</v>
      </c>
      <c r="D107" s="129">
        <v>28827</v>
      </c>
      <c r="E107" s="129">
        <v>29233</v>
      </c>
      <c r="F107" s="129">
        <v>29566</v>
      </c>
      <c r="G107" s="129">
        <v>30043</v>
      </c>
      <c r="H107" s="129">
        <v>30664</v>
      </c>
      <c r="I107" s="129">
        <v>31419</v>
      </c>
      <c r="J107" s="129">
        <v>31938</v>
      </c>
      <c r="K107" s="129">
        <v>32391</v>
      </c>
      <c r="L107" s="129">
        <v>32909</v>
      </c>
      <c r="M107" s="129">
        <v>33480</v>
      </c>
      <c r="N107" s="129">
        <v>33829</v>
      </c>
    </row>
    <row r="108" spans="2:14" ht="12.75">
      <c r="B108" s="153" t="s">
        <v>172</v>
      </c>
      <c r="C108" s="129">
        <f>1022+1</f>
        <v>1023</v>
      </c>
      <c r="D108" s="129">
        <v>1031</v>
      </c>
      <c r="E108" s="129">
        <v>1041</v>
      </c>
      <c r="F108" s="129">
        <v>1046</v>
      </c>
      <c r="G108" s="129">
        <v>1050</v>
      </c>
      <c r="H108" s="129">
        <v>1053</v>
      </c>
      <c r="I108" s="129">
        <v>1062</v>
      </c>
      <c r="J108" s="129">
        <v>1066</v>
      </c>
      <c r="K108" s="129">
        <v>1075</v>
      </c>
      <c r="L108" s="129">
        <v>1087</v>
      </c>
      <c r="M108" s="129">
        <v>1093</v>
      </c>
      <c r="N108" s="129">
        <v>1094</v>
      </c>
    </row>
    <row r="109" spans="2:14" ht="12.75">
      <c r="B109" s="153" t="s">
        <v>173</v>
      </c>
      <c r="C109" s="129">
        <f>5493+6</f>
        <v>5499</v>
      </c>
      <c r="D109" s="129">
        <v>5628</v>
      </c>
      <c r="E109" s="129">
        <v>5689</v>
      </c>
      <c r="F109" s="129">
        <v>5747</v>
      </c>
      <c r="G109" s="129">
        <v>5813</v>
      </c>
      <c r="H109" s="129">
        <v>5928</v>
      </c>
      <c r="I109" s="129">
        <v>6085</v>
      </c>
      <c r="J109" s="129">
        <v>6169</v>
      </c>
      <c r="K109" s="129">
        <v>6226</v>
      </c>
      <c r="L109" s="129">
        <v>6305</v>
      </c>
      <c r="M109" s="129">
        <v>6377</v>
      </c>
      <c r="N109" s="129">
        <v>6415</v>
      </c>
    </row>
    <row r="110" spans="2:14" ht="12.75">
      <c r="B110" s="153" t="s">
        <v>174</v>
      </c>
      <c r="C110" s="129">
        <v>1837</v>
      </c>
      <c r="D110" s="129">
        <v>1889</v>
      </c>
      <c r="E110" s="129">
        <v>1920</v>
      </c>
      <c r="F110" s="129">
        <v>1948</v>
      </c>
      <c r="G110" s="129">
        <v>1965</v>
      </c>
      <c r="H110" s="129">
        <v>1995</v>
      </c>
      <c r="I110" s="129">
        <v>2047</v>
      </c>
      <c r="J110" s="129">
        <v>2057</v>
      </c>
      <c r="K110" s="129">
        <v>2072</v>
      </c>
      <c r="L110" s="129">
        <v>2098</v>
      </c>
      <c r="M110" s="129">
        <v>2119</v>
      </c>
      <c r="N110" s="129">
        <v>2133</v>
      </c>
    </row>
    <row r="111" spans="2:14" ht="12.75">
      <c r="B111" s="153" t="s">
        <v>175</v>
      </c>
      <c r="C111" s="165">
        <f>4572+1</f>
        <v>4573</v>
      </c>
      <c r="D111" s="165">
        <v>4626</v>
      </c>
      <c r="E111" s="165">
        <v>4665</v>
      </c>
      <c r="F111" s="165">
        <v>4701</v>
      </c>
      <c r="G111" s="165">
        <v>4748</v>
      </c>
      <c r="H111" s="165">
        <v>4835</v>
      </c>
      <c r="I111" s="165">
        <v>4946</v>
      </c>
      <c r="J111" s="165">
        <v>4986</v>
      </c>
      <c r="K111" s="129">
        <v>5015</v>
      </c>
      <c r="L111" s="129">
        <v>5045</v>
      </c>
      <c r="M111" s="129">
        <v>5108</v>
      </c>
      <c r="N111" s="129">
        <v>5170</v>
      </c>
    </row>
    <row r="112" spans="2:14" ht="12.75">
      <c r="B112" s="153" t="s">
        <v>176</v>
      </c>
      <c r="C112" s="129">
        <f>4270+6</f>
        <v>4276</v>
      </c>
      <c r="D112" s="129">
        <v>4332</v>
      </c>
      <c r="E112" s="129">
        <v>4366</v>
      </c>
      <c r="F112" s="129">
        <v>4392</v>
      </c>
      <c r="G112" s="129">
        <v>4420</v>
      </c>
      <c r="H112" s="129">
        <v>4488</v>
      </c>
      <c r="I112" s="129">
        <v>4564</v>
      </c>
      <c r="J112" s="129">
        <v>4611</v>
      </c>
      <c r="K112" s="129">
        <v>4628</v>
      </c>
      <c r="L112" s="129">
        <v>4658</v>
      </c>
      <c r="M112" s="129">
        <v>4691</v>
      </c>
      <c r="N112" s="129">
        <v>4711</v>
      </c>
    </row>
    <row r="113" spans="2:14" ht="12.75">
      <c r="B113" s="153" t="s">
        <v>177</v>
      </c>
      <c r="C113" s="129">
        <f>4799+3</f>
        <v>4802</v>
      </c>
      <c r="D113" s="129">
        <v>4902</v>
      </c>
      <c r="E113" s="129">
        <v>4949</v>
      </c>
      <c r="F113" s="129">
        <v>5006</v>
      </c>
      <c r="G113" s="129">
        <v>5067</v>
      </c>
      <c r="H113" s="129">
        <v>5137</v>
      </c>
      <c r="I113" s="129">
        <v>5239</v>
      </c>
      <c r="J113" s="129">
        <v>5288</v>
      </c>
      <c r="K113" s="129">
        <v>5330</v>
      </c>
      <c r="L113" s="129">
        <v>5442</v>
      </c>
      <c r="M113" s="129">
        <v>5505</v>
      </c>
      <c r="N113" s="129">
        <v>5546</v>
      </c>
    </row>
    <row r="114" spans="2:14" ht="12.75">
      <c r="B114" s="153" t="s">
        <v>178</v>
      </c>
      <c r="C114" s="129">
        <v>2083</v>
      </c>
      <c r="D114" s="129">
        <v>2135</v>
      </c>
      <c r="E114" s="129">
        <v>2155</v>
      </c>
      <c r="F114" s="129">
        <v>2187</v>
      </c>
      <c r="G114" s="129">
        <v>2213</v>
      </c>
      <c r="H114" s="129">
        <v>2263</v>
      </c>
      <c r="I114" s="129">
        <v>2327</v>
      </c>
      <c r="J114" s="129">
        <v>2374</v>
      </c>
      <c r="K114" s="129">
        <v>2398</v>
      </c>
      <c r="L114" s="129">
        <v>2443</v>
      </c>
      <c r="M114" s="129">
        <v>2469</v>
      </c>
      <c r="N114" s="129">
        <v>2483</v>
      </c>
    </row>
    <row r="115" spans="2:14" ht="12.75">
      <c r="B115" s="153" t="s">
        <v>179</v>
      </c>
      <c r="C115" s="129">
        <f>6347+3</f>
        <v>6350</v>
      </c>
      <c r="D115" s="129">
        <v>6504</v>
      </c>
      <c r="E115" s="129">
        <v>6596</v>
      </c>
      <c r="F115" s="129">
        <v>6676</v>
      </c>
      <c r="G115" s="129">
        <v>6792</v>
      </c>
      <c r="H115" s="129">
        <v>6930</v>
      </c>
      <c r="I115" s="129">
        <v>7075</v>
      </c>
      <c r="J115" s="129">
        <v>7166</v>
      </c>
      <c r="K115" s="129">
        <v>7232</v>
      </c>
      <c r="L115" s="129">
        <v>7284</v>
      </c>
      <c r="M115" s="129">
        <v>7353</v>
      </c>
      <c r="N115" s="129">
        <v>7438</v>
      </c>
    </row>
    <row r="116" spans="2:14" ht="13.5" thickBot="1">
      <c r="B116" s="154" t="s">
        <v>180</v>
      </c>
      <c r="C116" s="129">
        <f>2849+1</f>
        <v>2850</v>
      </c>
      <c r="D116" s="129">
        <v>2928</v>
      </c>
      <c r="E116" s="129">
        <v>2951</v>
      </c>
      <c r="F116" s="129">
        <v>2970</v>
      </c>
      <c r="G116" s="129">
        <v>2997</v>
      </c>
      <c r="H116" s="129">
        <v>3029</v>
      </c>
      <c r="I116" s="129">
        <v>3066</v>
      </c>
      <c r="J116" s="129">
        <v>3099</v>
      </c>
      <c r="K116" s="129">
        <v>3122</v>
      </c>
      <c r="L116" s="129">
        <v>3149</v>
      </c>
      <c r="M116" s="129">
        <v>3169</v>
      </c>
      <c r="N116" s="129">
        <v>3183</v>
      </c>
    </row>
    <row r="117" spans="2:14" ht="13.5" thickBot="1">
      <c r="B117" s="114" t="s">
        <v>0</v>
      </c>
      <c r="C117" s="170">
        <f aca="true" t="shared" si="3" ref="C117:M117">SUM(C95:C116)</f>
        <v>94640</v>
      </c>
      <c r="D117" s="170">
        <f t="shared" si="3"/>
        <v>96479</v>
      </c>
      <c r="E117" s="170">
        <f t="shared" si="3"/>
        <v>97548</v>
      </c>
      <c r="F117" s="170">
        <f t="shared" si="3"/>
        <v>98621</v>
      </c>
      <c r="G117" s="172">
        <f t="shared" si="3"/>
        <v>99859</v>
      </c>
      <c r="H117" s="170">
        <f t="shared" si="3"/>
        <v>101613</v>
      </c>
      <c r="I117" s="170">
        <f t="shared" si="3"/>
        <v>103947</v>
      </c>
      <c r="J117" s="170">
        <f>SUM(J95:J116)</f>
        <v>105243</v>
      </c>
      <c r="K117" s="170">
        <f t="shared" si="3"/>
        <v>106263</v>
      </c>
      <c r="L117" s="170">
        <f>SUM(L95:L116)</f>
        <v>107615</v>
      </c>
      <c r="M117" s="170">
        <f t="shared" si="3"/>
        <v>108941</v>
      </c>
      <c r="N117" s="170">
        <f>SUM(N95:N116)</f>
        <v>109831</v>
      </c>
    </row>
    <row r="119" spans="5:11" ht="12.75">
      <c r="E119" s="148"/>
      <c r="F119" s="148"/>
      <c r="G119" s="148"/>
      <c r="H119" s="148"/>
      <c r="I119" s="148"/>
      <c r="J119" s="148"/>
      <c r="K119" s="148"/>
    </row>
    <row r="121" spans="2:14" ht="12.75">
      <c r="B121" s="137" t="s">
        <v>12</v>
      </c>
      <c r="C121" s="137"/>
      <c r="D121" s="137"/>
      <c r="E121" s="137"/>
      <c r="F121" s="137"/>
      <c r="G121" s="163"/>
      <c r="H121" s="137"/>
      <c r="I121" s="137"/>
      <c r="J121" s="137"/>
      <c r="K121" s="163"/>
      <c r="L121" s="137"/>
      <c r="M121" s="121"/>
      <c r="N121" s="121"/>
    </row>
    <row r="122" spans="2:17" ht="12.75"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20"/>
      <c r="P122" s="120"/>
      <c r="Q122" s="120"/>
    </row>
    <row r="123" spans="2:17" ht="12.75">
      <c r="B123" s="199" t="s">
        <v>106</v>
      </c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20"/>
      <c r="P123" s="120"/>
      <c r="Q123" s="120"/>
    </row>
    <row r="125" ht="13.5" thickBot="1"/>
    <row r="126" spans="2:14" ht="21" customHeight="1" thickBot="1">
      <c r="B126" s="175" t="s">
        <v>395</v>
      </c>
      <c r="C126" s="13" t="s">
        <v>446</v>
      </c>
      <c r="D126" s="13" t="s">
        <v>448</v>
      </c>
      <c r="E126" s="13" t="s">
        <v>451</v>
      </c>
      <c r="F126" s="13" t="s">
        <v>465</v>
      </c>
      <c r="G126" s="13" t="s">
        <v>480</v>
      </c>
      <c r="H126" s="13" t="s">
        <v>478</v>
      </c>
      <c r="I126" s="13" t="s">
        <v>482</v>
      </c>
      <c r="J126" s="13" t="s">
        <v>484</v>
      </c>
      <c r="K126" s="13" t="s">
        <v>487</v>
      </c>
      <c r="L126" s="13" t="s">
        <v>488</v>
      </c>
      <c r="M126" s="13" t="s">
        <v>529</v>
      </c>
      <c r="N126" s="13" t="s">
        <v>532</v>
      </c>
    </row>
    <row r="127" spans="2:14" ht="12.75">
      <c r="B127" s="138" t="s">
        <v>181</v>
      </c>
      <c r="C127" s="282">
        <f>4+9817+9</f>
        <v>9830</v>
      </c>
      <c r="D127" s="283">
        <v>10029</v>
      </c>
      <c r="E127" s="283">
        <v>10103</v>
      </c>
      <c r="F127" s="283">
        <v>10184</v>
      </c>
      <c r="G127" s="283">
        <v>10288</v>
      </c>
      <c r="H127" s="283">
        <v>10398</v>
      </c>
      <c r="I127" s="283">
        <v>10513</v>
      </c>
      <c r="J127" s="283">
        <v>10602</v>
      </c>
      <c r="K127" s="171">
        <v>10632</v>
      </c>
      <c r="L127" s="171">
        <v>10671</v>
      </c>
      <c r="M127" s="171">
        <v>10693</v>
      </c>
      <c r="N127" s="171">
        <v>10757</v>
      </c>
    </row>
    <row r="128" spans="2:14" ht="12.75">
      <c r="B128" s="140" t="s">
        <v>182</v>
      </c>
      <c r="C128" s="236">
        <f>24972+12+29</f>
        <v>25013</v>
      </c>
      <c r="D128" s="171">
        <v>25739</v>
      </c>
      <c r="E128" s="171">
        <v>26068</v>
      </c>
      <c r="F128" s="171">
        <v>26428</v>
      </c>
      <c r="G128" s="171">
        <v>27000</v>
      </c>
      <c r="H128" s="171">
        <v>27334</v>
      </c>
      <c r="I128" s="171">
        <v>27848</v>
      </c>
      <c r="J128" s="171">
        <v>28264</v>
      </c>
      <c r="K128" s="171">
        <v>28657</v>
      </c>
      <c r="L128" s="171">
        <v>29070</v>
      </c>
      <c r="M128" s="171">
        <v>29424</v>
      </c>
      <c r="N128" s="171">
        <v>29784</v>
      </c>
    </row>
    <row r="129" spans="2:14" ht="12.75">
      <c r="B129" s="140" t="s">
        <v>183</v>
      </c>
      <c r="C129" s="236">
        <f>29754+3+37</f>
        <v>29794</v>
      </c>
      <c r="D129" s="171">
        <v>30043</v>
      </c>
      <c r="E129" s="171">
        <v>30170</v>
      </c>
      <c r="F129" s="171">
        <v>30277</v>
      </c>
      <c r="G129" s="171">
        <v>30211</v>
      </c>
      <c r="H129" s="171">
        <v>30423</v>
      </c>
      <c r="I129" s="171">
        <v>30713</v>
      </c>
      <c r="J129" s="171">
        <v>30929</v>
      </c>
      <c r="K129" s="171">
        <v>31111</v>
      </c>
      <c r="L129" s="171">
        <v>31241</v>
      </c>
      <c r="M129" s="171">
        <v>31453</v>
      </c>
      <c r="N129" s="171">
        <v>31650</v>
      </c>
    </row>
    <row r="130" spans="2:14" ht="12.75">
      <c r="B130" s="140" t="s">
        <v>184</v>
      </c>
      <c r="C130" s="236">
        <f>21969+5+27</f>
        <v>22001</v>
      </c>
      <c r="D130" s="171">
        <v>22604</v>
      </c>
      <c r="E130" s="171">
        <v>22813</v>
      </c>
      <c r="F130" s="171">
        <v>22954</v>
      </c>
      <c r="G130" s="171">
        <v>23310</v>
      </c>
      <c r="H130" s="171">
        <v>23713</v>
      </c>
      <c r="I130" s="171">
        <v>24077</v>
      </c>
      <c r="J130" s="171">
        <v>24517</v>
      </c>
      <c r="K130" s="171">
        <v>24934</v>
      </c>
      <c r="L130" s="171">
        <v>25252</v>
      </c>
      <c r="M130" s="171">
        <v>25502</v>
      </c>
      <c r="N130" s="171">
        <v>25716</v>
      </c>
    </row>
    <row r="131" spans="2:14" ht="12.75">
      <c r="B131" s="140" t="s">
        <v>186</v>
      </c>
      <c r="C131" s="236">
        <f>16748+14+23</f>
        <v>16785</v>
      </c>
      <c r="D131" s="171">
        <v>17410</v>
      </c>
      <c r="E131" s="171">
        <v>17701</v>
      </c>
      <c r="F131" s="171">
        <v>17981</v>
      </c>
      <c r="G131" s="171">
        <v>18376</v>
      </c>
      <c r="H131" s="171">
        <v>18712</v>
      </c>
      <c r="I131" s="171">
        <v>18960</v>
      </c>
      <c r="J131" s="171">
        <v>19205</v>
      </c>
      <c r="K131" s="171">
        <v>19494</v>
      </c>
      <c r="L131" s="171">
        <v>19741</v>
      </c>
      <c r="M131" s="171">
        <v>19950</v>
      </c>
      <c r="N131" s="171">
        <v>20133</v>
      </c>
    </row>
    <row r="132" spans="2:14" ht="12.75">
      <c r="B132" s="140" t="s">
        <v>187</v>
      </c>
      <c r="C132" s="236">
        <f>11897+10+4</f>
        <v>11911</v>
      </c>
      <c r="D132" s="171">
        <v>12680</v>
      </c>
      <c r="E132" s="171">
        <v>13076</v>
      </c>
      <c r="F132" s="171">
        <v>13422</v>
      </c>
      <c r="G132" s="171">
        <v>13888</v>
      </c>
      <c r="H132" s="171">
        <v>14181</v>
      </c>
      <c r="I132" s="171">
        <v>14524</v>
      </c>
      <c r="J132" s="171">
        <v>14805</v>
      </c>
      <c r="K132" s="171">
        <v>15051</v>
      </c>
      <c r="L132" s="171">
        <v>15314</v>
      </c>
      <c r="M132" s="171">
        <v>15630</v>
      </c>
      <c r="N132" s="171">
        <v>15837</v>
      </c>
    </row>
    <row r="133" spans="2:14" ht="12.75">
      <c r="B133" s="140" t="s">
        <v>188</v>
      </c>
      <c r="C133" s="236">
        <f>20520+12</f>
        <v>20532</v>
      </c>
      <c r="D133" s="171">
        <v>21266</v>
      </c>
      <c r="E133" s="171">
        <v>21556</v>
      </c>
      <c r="F133" s="171">
        <v>21840</v>
      </c>
      <c r="G133" s="171">
        <v>22220</v>
      </c>
      <c r="H133" s="171">
        <v>22585</v>
      </c>
      <c r="I133" s="171">
        <v>22856</v>
      </c>
      <c r="J133" s="171">
        <v>23104</v>
      </c>
      <c r="K133" s="171">
        <v>23327</v>
      </c>
      <c r="L133" s="171">
        <v>23561</v>
      </c>
      <c r="M133" s="171">
        <v>23827</v>
      </c>
      <c r="N133" s="171">
        <v>23998</v>
      </c>
    </row>
    <row r="134" spans="2:14" ht="12.75">
      <c r="B134" s="140" t="s">
        <v>189</v>
      </c>
      <c r="C134" s="236">
        <f>22247+13</f>
        <v>22260</v>
      </c>
      <c r="D134" s="171">
        <v>22901</v>
      </c>
      <c r="E134" s="171">
        <v>23164</v>
      </c>
      <c r="F134" s="171">
        <v>23526</v>
      </c>
      <c r="G134" s="171">
        <v>23934</v>
      </c>
      <c r="H134" s="171">
        <v>24056</v>
      </c>
      <c r="I134" s="171">
        <v>24341</v>
      </c>
      <c r="J134" s="171">
        <v>24625</v>
      </c>
      <c r="K134" s="171">
        <v>24993</v>
      </c>
      <c r="L134" s="171">
        <v>25237</v>
      </c>
      <c r="M134" s="171">
        <v>25520</v>
      </c>
      <c r="N134" s="171">
        <v>25715</v>
      </c>
    </row>
    <row r="135" spans="2:14" ht="12.75">
      <c r="B135" s="140" t="s">
        <v>185</v>
      </c>
      <c r="C135" s="236">
        <f>15134+3+10</f>
        <v>15147</v>
      </c>
      <c r="D135" s="171">
        <v>15666</v>
      </c>
      <c r="E135" s="171">
        <v>15980</v>
      </c>
      <c r="F135" s="171">
        <v>16286</v>
      </c>
      <c r="G135" s="171">
        <v>16637</v>
      </c>
      <c r="H135" s="171">
        <v>16942</v>
      </c>
      <c r="I135" s="171">
        <v>17224</v>
      </c>
      <c r="J135" s="171">
        <v>17486</v>
      </c>
      <c r="K135" s="171">
        <v>17756</v>
      </c>
      <c r="L135" s="171">
        <v>17994</v>
      </c>
      <c r="M135" s="171">
        <v>18261</v>
      </c>
      <c r="N135" s="171">
        <v>18451</v>
      </c>
    </row>
    <row r="136" spans="2:14" ht="12.75">
      <c r="B136" s="140" t="s">
        <v>190</v>
      </c>
      <c r="C136" s="236">
        <f>15599+13</f>
        <v>15612</v>
      </c>
      <c r="D136" s="171">
        <v>15510</v>
      </c>
      <c r="E136" s="171">
        <v>15451</v>
      </c>
      <c r="F136" s="171">
        <v>15359</v>
      </c>
      <c r="G136" s="171">
        <v>15289</v>
      </c>
      <c r="H136" s="171">
        <v>15470</v>
      </c>
      <c r="I136" s="171">
        <v>15705</v>
      </c>
      <c r="J136" s="171">
        <v>15880</v>
      </c>
      <c r="K136" s="171">
        <v>16076</v>
      </c>
      <c r="L136" s="171">
        <v>16239</v>
      </c>
      <c r="M136" s="171">
        <v>16395</v>
      </c>
      <c r="N136" s="171">
        <v>16540</v>
      </c>
    </row>
    <row r="137" spans="2:14" ht="12.75">
      <c r="B137" s="140" t="s">
        <v>191</v>
      </c>
      <c r="C137" s="236">
        <f>46775+9+78</f>
        <v>46862</v>
      </c>
      <c r="D137" s="171">
        <v>47723</v>
      </c>
      <c r="E137" s="171">
        <v>48352</v>
      </c>
      <c r="F137" s="171">
        <v>49010</v>
      </c>
      <c r="G137" s="171">
        <v>49804</v>
      </c>
      <c r="H137" s="171">
        <v>50447</v>
      </c>
      <c r="I137" s="171">
        <v>51098</v>
      </c>
      <c r="J137" s="171">
        <v>51722</v>
      </c>
      <c r="K137" s="171">
        <v>52249</v>
      </c>
      <c r="L137" s="171">
        <v>52736</v>
      </c>
      <c r="M137" s="171">
        <v>53326</v>
      </c>
      <c r="N137" s="171">
        <v>53766</v>
      </c>
    </row>
    <row r="138" spans="2:14" ht="12.75">
      <c r="B138" s="140" t="s">
        <v>192</v>
      </c>
      <c r="C138" s="236">
        <f>19935+35+18</f>
        <v>19988</v>
      </c>
      <c r="D138" s="171">
        <v>20641</v>
      </c>
      <c r="E138" s="171">
        <v>20934</v>
      </c>
      <c r="F138" s="171">
        <v>21178</v>
      </c>
      <c r="G138" s="171">
        <v>21511</v>
      </c>
      <c r="H138" s="171">
        <v>21795</v>
      </c>
      <c r="I138" s="171">
        <v>22091</v>
      </c>
      <c r="J138" s="171">
        <v>22326</v>
      </c>
      <c r="K138" s="171">
        <v>22560</v>
      </c>
      <c r="L138" s="171">
        <v>22787</v>
      </c>
      <c r="M138" s="171">
        <v>23039</v>
      </c>
      <c r="N138" s="171">
        <v>23200</v>
      </c>
    </row>
    <row r="139" spans="2:14" ht="12.75">
      <c r="B139" s="140" t="s">
        <v>193</v>
      </c>
      <c r="C139" s="236">
        <f>27557+8+38</f>
        <v>27603</v>
      </c>
      <c r="D139" s="171">
        <v>28333</v>
      </c>
      <c r="E139" s="171">
        <v>28711</v>
      </c>
      <c r="F139" s="171">
        <v>29286</v>
      </c>
      <c r="G139" s="171">
        <v>30083</v>
      </c>
      <c r="H139" s="171">
        <v>30600</v>
      </c>
      <c r="I139" s="171">
        <v>31125</v>
      </c>
      <c r="J139" s="171">
        <v>31602</v>
      </c>
      <c r="K139" s="171">
        <v>32115</v>
      </c>
      <c r="L139" s="171">
        <v>32607</v>
      </c>
      <c r="M139" s="171">
        <v>33046</v>
      </c>
      <c r="N139" s="171">
        <v>33441</v>
      </c>
    </row>
    <row r="140" spans="2:14" ht="12.75">
      <c r="B140" s="140" t="s">
        <v>194</v>
      </c>
      <c r="C140" s="236">
        <f>26801+5+24</f>
        <v>26830</v>
      </c>
      <c r="D140" s="171">
        <v>26628</v>
      </c>
      <c r="E140" s="171">
        <v>26504</v>
      </c>
      <c r="F140" s="171">
        <v>26437</v>
      </c>
      <c r="G140" s="171">
        <v>26709</v>
      </c>
      <c r="H140" s="171">
        <v>27087</v>
      </c>
      <c r="I140" s="171">
        <v>27450</v>
      </c>
      <c r="J140" s="171">
        <v>27768</v>
      </c>
      <c r="K140" s="171">
        <v>28035</v>
      </c>
      <c r="L140" s="171">
        <v>28289</v>
      </c>
      <c r="M140" s="171">
        <v>28515</v>
      </c>
      <c r="N140" s="171">
        <v>28762</v>
      </c>
    </row>
    <row r="141" spans="2:14" ht="12.75">
      <c r="B141" s="140" t="s">
        <v>196</v>
      </c>
      <c r="C141" s="236">
        <f>15550+2+22</f>
        <v>15574</v>
      </c>
      <c r="D141" s="171">
        <v>15952</v>
      </c>
      <c r="E141" s="171">
        <v>16196</v>
      </c>
      <c r="F141" s="171">
        <v>16379</v>
      </c>
      <c r="G141" s="171">
        <v>16604</v>
      </c>
      <c r="H141" s="171">
        <v>16824</v>
      </c>
      <c r="I141" s="171">
        <v>17023</v>
      </c>
      <c r="J141" s="171">
        <v>17211</v>
      </c>
      <c r="K141" s="171">
        <v>17351</v>
      </c>
      <c r="L141" s="171">
        <v>17442</v>
      </c>
      <c r="M141" s="171">
        <v>17591</v>
      </c>
      <c r="N141" s="171">
        <v>17738</v>
      </c>
    </row>
    <row r="142" spans="2:14" ht="12.75">
      <c r="B142" s="140" t="s">
        <v>197</v>
      </c>
      <c r="C142" s="236">
        <f>15798+3+15</f>
        <v>15816</v>
      </c>
      <c r="D142" s="171">
        <v>16340</v>
      </c>
      <c r="E142" s="171">
        <v>16591</v>
      </c>
      <c r="F142" s="171">
        <v>16879</v>
      </c>
      <c r="G142" s="171">
        <v>17158</v>
      </c>
      <c r="H142" s="171">
        <v>17414</v>
      </c>
      <c r="I142" s="171">
        <v>17690</v>
      </c>
      <c r="J142" s="171">
        <v>17957</v>
      </c>
      <c r="K142" s="171">
        <v>18155</v>
      </c>
      <c r="L142" s="171">
        <v>18353</v>
      </c>
      <c r="M142" s="171">
        <v>18524</v>
      </c>
      <c r="N142" s="171">
        <v>18706</v>
      </c>
    </row>
    <row r="143" spans="2:14" ht="12.75">
      <c r="B143" s="140" t="s">
        <v>198</v>
      </c>
      <c r="C143" s="236">
        <f>21470+1+16</f>
        <v>21487</v>
      </c>
      <c r="D143" s="171">
        <v>21918</v>
      </c>
      <c r="E143" s="171">
        <v>22139</v>
      </c>
      <c r="F143" s="171">
        <v>22400</v>
      </c>
      <c r="G143" s="171">
        <v>22687</v>
      </c>
      <c r="H143" s="171">
        <v>22947</v>
      </c>
      <c r="I143" s="171">
        <v>23246</v>
      </c>
      <c r="J143" s="171">
        <v>23482</v>
      </c>
      <c r="K143" s="171">
        <v>23583</v>
      </c>
      <c r="L143" s="171">
        <v>23642</v>
      </c>
      <c r="M143" s="171">
        <v>23747</v>
      </c>
      <c r="N143" s="171">
        <v>23931</v>
      </c>
    </row>
    <row r="144" spans="2:14" ht="12.75">
      <c r="B144" s="140" t="s">
        <v>199</v>
      </c>
      <c r="C144" s="236">
        <f>19977+13+2</f>
        <v>19992</v>
      </c>
      <c r="D144" s="171">
        <v>20458</v>
      </c>
      <c r="E144" s="171">
        <v>20685</v>
      </c>
      <c r="F144" s="171">
        <v>20917</v>
      </c>
      <c r="G144" s="171">
        <v>21158</v>
      </c>
      <c r="H144" s="171">
        <v>21403</v>
      </c>
      <c r="I144" s="171">
        <v>21683</v>
      </c>
      <c r="J144" s="171">
        <v>21909</v>
      </c>
      <c r="K144" s="171">
        <v>22166</v>
      </c>
      <c r="L144" s="171">
        <v>22368</v>
      </c>
      <c r="M144" s="171">
        <v>22579</v>
      </c>
      <c r="N144" s="171">
        <v>22704</v>
      </c>
    </row>
    <row r="145" spans="2:14" ht="12.75">
      <c r="B145" s="140" t="s">
        <v>195</v>
      </c>
      <c r="C145" s="236">
        <f>12625+6+1</f>
        <v>12632</v>
      </c>
      <c r="D145" s="171">
        <v>12968</v>
      </c>
      <c r="E145" s="171">
        <v>13152</v>
      </c>
      <c r="F145" s="171">
        <v>13273</v>
      </c>
      <c r="G145" s="171">
        <v>13462</v>
      </c>
      <c r="H145" s="171">
        <v>13671</v>
      </c>
      <c r="I145" s="171">
        <v>13911</v>
      </c>
      <c r="J145" s="171">
        <v>14100</v>
      </c>
      <c r="K145" s="171">
        <v>14284</v>
      </c>
      <c r="L145" s="171">
        <v>14457</v>
      </c>
      <c r="M145" s="171">
        <v>14640</v>
      </c>
      <c r="N145" s="171">
        <v>14753</v>
      </c>
    </row>
    <row r="146" spans="2:14" ht="12.75">
      <c r="B146" s="140" t="s">
        <v>200</v>
      </c>
      <c r="C146" s="236">
        <f>15382+5</f>
        <v>15387</v>
      </c>
      <c r="D146" s="171">
        <v>15907</v>
      </c>
      <c r="E146" s="171">
        <v>16205</v>
      </c>
      <c r="F146" s="171">
        <v>16510</v>
      </c>
      <c r="G146" s="171">
        <v>16868</v>
      </c>
      <c r="H146" s="171">
        <v>17159</v>
      </c>
      <c r="I146" s="171">
        <v>17457</v>
      </c>
      <c r="J146" s="171">
        <v>17707</v>
      </c>
      <c r="K146" s="171">
        <v>17936</v>
      </c>
      <c r="L146" s="171">
        <v>18107</v>
      </c>
      <c r="M146" s="171">
        <v>18275</v>
      </c>
      <c r="N146" s="171">
        <v>18470</v>
      </c>
    </row>
    <row r="147" spans="2:14" ht="12.75">
      <c r="B147" s="140" t="s">
        <v>201</v>
      </c>
      <c r="C147" s="236">
        <f>16227+1+16</f>
        <v>16244</v>
      </c>
      <c r="D147" s="171">
        <v>16677</v>
      </c>
      <c r="E147" s="171">
        <v>16899</v>
      </c>
      <c r="F147" s="171">
        <v>17165</v>
      </c>
      <c r="G147" s="171">
        <v>17447</v>
      </c>
      <c r="H147" s="171">
        <v>17678</v>
      </c>
      <c r="I147" s="171">
        <v>17962</v>
      </c>
      <c r="J147" s="171">
        <v>18140</v>
      </c>
      <c r="K147" s="171">
        <v>18337</v>
      </c>
      <c r="L147" s="171">
        <v>18505</v>
      </c>
      <c r="M147" s="171">
        <v>18702</v>
      </c>
      <c r="N147" s="171">
        <v>18850</v>
      </c>
    </row>
    <row r="148" spans="2:14" ht="12.75">
      <c r="B148" s="140" t="s">
        <v>202</v>
      </c>
      <c r="C148" s="236">
        <f>14892+1+16</f>
        <v>14909</v>
      </c>
      <c r="D148" s="171">
        <v>15344</v>
      </c>
      <c r="E148" s="171">
        <v>15545</v>
      </c>
      <c r="F148" s="171">
        <v>15735</v>
      </c>
      <c r="G148" s="171">
        <v>16005</v>
      </c>
      <c r="H148" s="171">
        <v>16256</v>
      </c>
      <c r="I148" s="171">
        <v>16530</v>
      </c>
      <c r="J148" s="171">
        <v>16750</v>
      </c>
      <c r="K148" s="171">
        <v>16940</v>
      </c>
      <c r="L148" s="171">
        <v>17124</v>
      </c>
      <c r="M148" s="171">
        <v>17292</v>
      </c>
      <c r="N148" s="171">
        <v>17423</v>
      </c>
    </row>
    <row r="149" spans="2:14" ht="12.75">
      <c r="B149" s="140" t="s">
        <v>203</v>
      </c>
      <c r="C149" s="236">
        <f>3862+7</f>
        <v>3869</v>
      </c>
      <c r="D149" s="171">
        <v>3885</v>
      </c>
      <c r="E149" s="171">
        <v>3890</v>
      </c>
      <c r="F149" s="171">
        <v>3916</v>
      </c>
      <c r="G149" s="171">
        <v>3965</v>
      </c>
      <c r="H149" s="171">
        <v>4025</v>
      </c>
      <c r="I149" s="171">
        <v>4094</v>
      </c>
      <c r="J149" s="171">
        <v>4139</v>
      </c>
      <c r="K149" s="171">
        <v>4189</v>
      </c>
      <c r="L149" s="171">
        <v>4236</v>
      </c>
      <c r="M149" s="171">
        <v>4302</v>
      </c>
      <c r="N149" s="171">
        <v>4334</v>
      </c>
    </row>
    <row r="150" spans="2:14" ht="12.75">
      <c r="B150" s="140" t="s">
        <v>481</v>
      </c>
      <c r="C150" s="236">
        <v>46692</v>
      </c>
      <c r="D150" s="171">
        <v>46439</v>
      </c>
      <c r="E150" s="171">
        <v>46249</v>
      </c>
      <c r="F150" s="171">
        <v>46043</v>
      </c>
      <c r="G150" s="171">
        <v>45741</v>
      </c>
      <c r="H150" s="171">
        <v>45625</v>
      </c>
      <c r="I150" s="171">
        <v>45432</v>
      </c>
      <c r="J150" s="171">
        <v>45211</v>
      </c>
      <c r="K150" s="171">
        <v>45097</v>
      </c>
      <c r="L150" s="171">
        <v>44870</v>
      </c>
      <c r="M150" s="171">
        <v>44733</v>
      </c>
      <c r="N150" s="171">
        <v>44607</v>
      </c>
    </row>
    <row r="151" spans="2:14" ht="13.5" thickBot="1">
      <c r="B151" s="145" t="s">
        <v>204</v>
      </c>
      <c r="C151" s="236">
        <v>10804</v>
      </c>
      <c r="D151" s="171">
        <v>8175</v>
      </c>
      <c r="E151" s="171">
        <v>8521</v>
      </c>
      <c r="F151" s="171">
        <v>8903</v>
      </c>
      <c r="G151" s="171">
        <v>9453</v>
      </c>
      <c r="H151" s="171">
        <v>9973</v>
      </c>
      <c r="I151" s="171">
        <v>10932</v>
      </c>
      <c r="J151" s="171">
        <v>11595</v>
      </c>
      <c r="K151" s="171">
        <v>12227</v>
      </c>
      <c r="L151" s="171">
        <v>12772</v>
      </c>
      <c r="M151" s="171">
        <v>13236</v>
      </c>
      <c r="N151" s="171">
        <v>13682</v>
      </c>
    </row>
    <row r="152" spans="2:14" ht="13.5" thickBot="1">
      <c r="B152" s="280" t="s">
        <v>0</v>
      </c>
      <c r="C152" s="172">
        <f aca="true" t="shared" si="4" ref="C152:M152">SUM(C127:C151)</f>
        <v>503574</v>
      </c>
      <c r="D152" s="172">
        <f t="shared" si="4"/>
        <v>511236</v>
      </c>
      <c r="E152" s="172">
        <f t="shared" si="4"/>
        <v>516655</v>
      </c>
      <c r="F152" s="172">
        <f t="shared" si="4"/>
        <v>522288</v>
      </c>
      <c r="G152" s="172">
        <f t="shared" si="4"/>
        <v>529808</v>
      </c>
      <c r="H152" s="172">
        <f t="shared" si="4"/>
        <v>536718</v>
      </c>
      <c r="I152" s="172">
        <f t="shared" si="4"/>
        <v>544485</v>
      </c>
      <c r="J152" s="172">
        <f>SUM(J127:J151)</f>
        <v>551036</v>
      </c>
      <c r="K152" s="172">
        <f t="shared" si="4"/>
        <v>557255</v>
      </c>
      <c r="L152" s="172">
        <f>SUM(L127:L151)</f>
        <v>562615</v>
      </c>
      <c r="M152" s="172">
        <f t="shared" si="4"/>
        <v>568202</v>
      </c>
      <c r="N152" s="172">
        <f>SUM(N127:N151)</f>
        <v>572948</v>
      </c>
    </row>
    <row r="154" spans="9:11" ht="12.75">
      <c r="I154" s="148"/>
      <c r="J154" s="148"/>
      <c r="K154" s="148"/>
    </row>
    <row r="156" spans="2:14" ht="12.75">
      <c r="B156" s="137" t="s">
        <v>13</v>
      </c>
      <c r="C156" s="137"/>
      <c r="D156" s="137"/>
      <c r="E156" s="137"/>
      <c r="F156" s="137"/>
      <c r="G156" s="163"/>
      <c r="H156" s="137"/>
      <c r="I156" s="137"/>
      <c r="J156" s="137"/>
      <c r="K156" s="163"/>
      <c r="L156" s="137"/>
      <c r="M156" s="121"/>
      <c r="N156" s="121"/>
    </row>
    <row r="157" spans="2:17" ht="12.75"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20"/>
      <c r="P157" s="120"/>
      <c r="Q157" s="120"/>
    </row>
    <row r="158" spans="2:17" ht="12.75">
      <c r="B158" s="199" t="s">
        <v>106</v>
      </c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20"/>
      <c r="P158" s="120"/>
      <c r="Q158" s="120"/>
    </row>
    <row r="160" ht="13.5" thickBot="1"/>
    <row r="161" spans="2:14" ht="21" customHeight="1" thickBot="1">
      <c r="B161" s="175" t="s">
        <v>533</v>
      </c>
      <c r="C161" s="13" t="s">
        <v>446</v>
      </c>
      <c r="D161" s="13" t="s">
        <v>448</v>
      </c>
      <c r="E161" s="13" t="s">
        <v>451</v>
      </c>
      <c r="F161" s="13" t="s">
        <v>465</v>
      </c>
      <c r="G161" s="13" t="s">
        <v>480</v>
      </c>
      <c r="H161" s="13" t="s">
        <v>478</v>
      </c>
      <c r="I161" s="13" t="s">
        <v>482</v>
      </c>
      <c r="J161" s="13" t="s">
        <v>484</v>
      </c>
      <c r="K161" s="13" t="s">
        <v>487</v>
      </c>
      <c r="L161" s="13" t="s">
        <v>488</v>
      </c>
      <c r="M161" s="13" t="s">
        <v>529</v>
      </c>
      <c r="N161" s="13" t="s">
        <v>532</v>
      </c>
    </row>
    <row r="162" spans="2:14" ht="12.75">
      <c r="B162" s="152" t="s">
        <v>205</v>
      </c>
      <c r="C162" s="283">
        <f>4389+1</f>
        <v>4390</v>
      </c>
      <c r="D162" s="283">
        <v>4481</v>
      </c>
      <c r="E162" s="283">
        <v>4526</v>
      </c>
      <c r="F162" s="283">
        <v>4566</v>
      </c>
      <c r="G162" s="283">
        <v>4612</v>
      </c>
      <c r="H162" s="283">
        <v>4713</v>
      </c>
      <c r="I162" s="283">
        <v>4832</v>
      </c>
      <c r="J162" s="283">
        <v>4875</v>
      </c>
      <c r="K162" s="171">
        <v>4897</v>
      </c>
      <c r="L162" s="171">
        <v>4922</v>
      </c>
      <c r="M162" s="171">
        <v>4954</v>
      </c>
      <c r="N162" s="171">
        <v>4986</v>
      </c>
    </row>
    <row r="163" spans="2:14" ht="12.75">
      <c r="B163" s="153" t="s">
        <v>206</v>
      </c>
      <c r="C163" s="171">
        <f>7595+2+5</f>
        <v>7602</v>
      </c>
      <c r="D163" s="171">
        <v>7801</v>
      </c>
      <c r="E163" s="171">
        <v>7885</v>
      </c>
      <c r="F163" s="171">
        <v>7970</v>
      </c>
      <c r="G163" s="171">
        <v>8078</v>
      </c>
      <c r="H163" s="171">
        <v>8200</v>
      </c>
      <c r="I163" s="171">
        <v>8359</v>
      </c>
      <c r="J163" s="171">
        <v>8469</v>
      </c>
      <c r="K163" s="171">
        <v>8613</v>
      </c>
      <c r="L163" s="171">
        <v>8690</v>
      </c>
      <c r="M163" s="171">
        <v>8768</v>
      </c>
      <c r="N163" s="171">
        <v>8840</v>
      </c>
    </row>
    <row r="164" spans="2:14" ht="12.75">
      <c r="B164" s="153" t="s">
        <v>207</v>
      </c>
      <c r="C164" s="171">
        <v>1520</v>
      </c>
      <c r="D164" s="171">
        <v>1550</v>
      </c>
      <c r="E164" s="171">
        <v>1570</v>
      </c>
      <c r="F164" s="171">
        <v>1586</v>
      </c>
      <c r="G164" s="171">
        <v>1618</v>
      </c>
      <c r="H164" s="171">
        <v>1649</v>
      </c>
      <c r="I164" s="171">
        <v>1686</v>
      </c>
      <c r="J164" s="171">
        <v>1696</v>
      </c>
      <c r="K164" s="171">
        <v>1710</v>
      </c>
      <c r="L164" s="171">
        <v>1733</v>
      </c>
      <c r="M164" s="171">
        <v>1754</v>
      </c>
      <c r="N164" s="171">
        <v>1762</v>
      </c>
    </row>
    <row r="165" spans="2:14" ht="12.75">
      <c r="B165" s="153" t="s">
        <v>208</v>
      </c>
      <c r="C165" s="171">
        <v>3413</v>
      </c>
      <c r="D165" s="171">
        <v>3461</v>
      </c>
      <c r="E165" s="171">
        <v>3482</v>
      </c>
      <c r="F165" s="171">
        <v>3518</v>
      </c>
      <c r="G165" s="171">
        <v>3554</v>
      </c>
      <c r="H165" s="171">
        <v>3594</v>
      </c>
      <c r="I165" s="171">
        <v>3647</v>
      </c>
      <c r="J165" s="171">
        <v>3692</v>
      </c>
      <c r="K165" s="171">
        <v>3733</v>
      </c>
      <c r="L165" s="171">
        <v>3767</v>
      </c>
      <c r="M165" s="171">
        <v>3786</v>
      </c>
      <c r="N165" s="171">
        <v>3817</v>
      </c>
    </row>
    <row r="166" spans="2:14" ht="12.75">
      <c r="B166" s="153" t="s">
        <v>209</v>
      </c>
      <c r="C166" s="171">
        <f>6923+1</f>
        <v>6924</v>
      </c>
      <c r="D166" s="171">
        <v>7031</v>
      </c>
      <c r="E166" s="171">
        <v>7081</v>
      </c>
      <c r="F166" s="171">
        <v>7123</v>
      </c>
      <c r="G166" s="171">
        <v>7164</v>
      </c>
      <c r="H166" s="171">
        <v>7271</v>
      </c>
      <c r="I166" s="171">
        <v>7371</v>
      </c>
      <c r="J166" s="171">
        <v>7443</v>
      </c>
      <c r="K166" s="171">
        <v>7493</v>
      </c>
      <c r="L166" s="171">
        <v>7532</v>
      </c>
      <c r="M166" s="171">
        <v>7557</v>
      </c>
      <c r="N166" s="171">
        <v>7605</v>
      </c>
    </row>
    <row r="167" spans="2:14" ht="12.75">
      <c r="B167" s="153" t="s">
        <v>210</v>
      </c>
      <c r="C167" s="171">
        <f>4255+1</f>
        <v>4256</v>
      </c>
      <c r="D167" s="171">
        <v>4294</v>
      </c>
      <c r="E167" s="171">
        <v>4310</v>
      </c>
      <c r="F167" s="171">
        <v>4331</v>
      </c>
      <c r="G167" s="171">
        <v>4355</v>
      </c>
      <c r="H167" s="171">
        <v>4404</v>
      </c>
      <c r="I167" s="171">
        <v>4448</v>
      </c>
      <c r="J167" s="171">
        <v>4476</v>
      </c>
      <c r="K167" s="171">
        <v>4501</v>
      </c>
      <c r="L167" s="171">
        <v>4525</v>
      </c>
      <c r="M167" s="171">
        <v>4557</v>
      </c>
      <c r="N167" s="171">
        <v>4584</v>
      </c>
    </row>
    <row r="168" spans="2:14" ht="12.75">
      <c r="B168" s="153" t="s">
        <v>400</v>
      </c>
      <c r="C168" s="171">
        <f>660+1</f>
        <v>661</v>
      </c>
      <c r="D168" s="171">
        <v>683</v>
      </c>
      <c r="E168" s="171">
        <v>705</v>
      </c>
      <c r="F168" s="171">
        <v>724</v>
      </c>
      <c r="G168" s="171">
        <v>740</v>
      </c>
      <c r="H168" s="171">
        <v>764</v>
      </c>
      <c r="I168" s="171">
        <v>788</v>
      </c>
      <c r="J168" s="171">
        <v>801</v>
      </c>
      <c r="K168" s="171">
        <v>814</v>
      </c>
      <c r="L168" s="171">
        <v>830</v>
      </c>
      <c r="M168" s="171">
        <v>841</v>
      </c>
      <c r="N168" s="171">
        <v>852</v>
      </c>
    </row>
    <row r="169" spans="2:14" ht="12.75">
      <c r="B169" s="156" t="s">
        <v>401</v>
      </c>
      <c r="C169" s="171">
        <f>676+1</f>
        <v>677</v>
      </c>
      <c r="D169" s="171">
        <v>713</v>
      </c>
      <c r="E169" s="171">
        <v>738</v>
      </c>
      <c r="F169" s="171">
        <v>756</v>
      </c>
      <c r="G169" s="171">
        <v>785</v>
      </c>
      <c r="H169" s="171">
        <v>804</v>
      </c>
      <c r="I169" s="171">
        <v>834</v>
      </c>
      <c r="J169" s="171">
        <v>861</v>
      </c>
      <c r="K169" s="171">
        <v>871</v>
      </c>
      <c r="L169" s="171">
        <v>887</v>
      </c>
      <c r="M169" s="171">
        <v>901</v>
      </c>
      <c r="N169" s="171">
        <v>926</v>
      </c>
    </row>
    <row r="170" spans="2:14" ht="12.75">
      <c r="B170" s="156" t="s">
        <v>211</v>
      </c>
      <c r="C170" s="171">
        <f>38068+2+1+27</f>
        <v>38098</v>
      </c>
      <c r="D170" s="171">
        <v>38985</v>
      </c>
      <c r="E170" s="171">
        <v>39283</v>
      </c>
      <c r="F170" s="171">
        <v>39560</v>
      </c>
      <c r="G170" s="171">
        <v>39980</v>
      </c>
      <c r="H170" s="171">
        <v>40558</v>
      </c>
      <c r="I170" s="171">
        <v>41112</v>
      </c>
      <c r="J170" s="171">
        <v>41611</v>
      </c>
      <c r="K170" s="171">
        <v>42064</v>
      </c>
      <c r="L170" s="171">
        <v>42450</v>
      </c>
      <c r="M170" s="171">
        <v>42874</v>
      </c>
      <c r="N170" s="171">
        <v>43205</v>
      </c>
    </row>
    <row r="171" spans="2:14" ht="13.5" thickBot="1">
      <c r="B171" s="156" t="s">
        <v>212</v>
      </c>
      <c r="C171" s="171">
        <f>6686+2+2</f>
        <v>6690</v>
      </c>
      <c r="D171" s="171">
        <v>6852</v>
      </c>
      <c r="E171" s="171">
        <v>6915</v>
      </c>
      <c r="F171" s="171">
        <v>6997</v>
      </c>
      <c r="G171" s="171">
        <v>7087</v>
      </c>
      <c r="H171" s="171">
        <v>7170</v>
      </c>
      <c r="I171" s="171">
        <v>7300</v>
      </c>
      <c r="J171" s="171">
        <v>7367</v>
      </c>
      <c r="K171" s="171">
        <v>7431</v>
      </c>
      <c r="L171" s="171">
        <v>7545</v>
      </c>
      <c r="M171" s="171">
        <v>7631</v>
      </c>
      <c r="N171" s="171">
        <v>7694</v>
      </c>
    </row>
    <row r="172" spans="2:14" ht="13.5" thickBot="1">
      <c r="B172" s="114" t="s">
        <v>0</v>
      </c>
      <c r="C172" s="170">
        <f aca="true" t="shared" si="5" ref="C172:M172">SUM(C162:C171)</f>
        <v>74231</v>
      </c>
      <c r="D172" s="170">
        <f t="shared" si="5"/>
        <v>75851</v>
      </c>
      <c r="E172" s="170">
        <f t="shared" si="5"/>
        <v>76495</v>
      </c>
      <c r="F172" s="170">
        <f t="shared" si="5"/>
        <v>77131</v>
      </c>
      <c r="G172" s="172">
        <f t="shared" si="5"/>
        <v>77973</v>
      </c>
      <c r="H172" s="170">
        <f t="shared" si="5"/>
        <v>79127</v>
      </c>
      <c r="I172" s="170">
        <f t="shared" si="5"/>
        <v>80377</v>
      </c>
      <c r="J172" s="170">
        <f>SUM(J162:J171)</f>
        <v>81291</v>
      </c>
      <c r="K172" s="170">
        <f t="shared" si="5"/>
        <v>82127</v>
      </c>
      <c r="L172" s="170">
        <f>SUM(L162:L171)</f>
        <v>82881</v>
      </c>
      <c r="M172" s="170">
        <f t="shared" si="5"/>
        <v>83623</v>
      </c>
      <c r="N172" s="170">
        <f>SUM(N162:N171)</f>
        <v>84271</v>
      </c>
    </row>
    <row r="174" spans="5:11" ht="12.75">
      <c r="E174" s="148"/>
      <c r="F174" s="148"/>
      <c r="G174" s="148"/>
      <c r="H174" s="148"/>
      <c r="I174" s="148"/>
      <c r="J174" s="148"/>
      <c r="K174" s="148"/>
    </row>
    <row r="176" spans="2:14" ht="12.75">
      <c r="B176" s="137" t="s">
        <v>14</v>
      </c>
      <c r="C176" s="137"/>
      <c r="D176" s="137"/>
      <c r="E176" s="137"/>
      <c r="F176" s="137"/>
      <c r="G176" s="163"/>
      <c r="H176" s="137"/>
      <c r="I176" s="137"/>
      <c r="J176" s="137"/>
      <c r="K176" s="163"/>
      <c r="L176" s="137"/>
      <c r="M176" s="121"/>
      <c r="N176" s="121"/>
    </row>
    <row r="177" spans="2:17" ht="12.75"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20"/>
      <c r="P177" s="120"/>
      <c r="Q177" s="120"/>
    </row>
    <row r="178" ht="12.75">
      <c r="B178" s="163" t="s">
        <v>106</v>
      </c>
    </row>
    <row r="180" spans="4:14" ht="13.5" thickBot="1"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</row>
    <row r="181" spans="2:14" ht="21" customHeight="1" thickBot="1">
      <c r="B181" s="175" t="s">
        <v>533</v>
      </c>
      <c r="C181" s="13" t="s">
        <v>446</v>
      </c>
      <c r="D181" s="13" t="s">
        <v>448</v>
      </c>
      <c r="E181" s="13" t="s">
        <v>451</v>
      </c>
      <c r="F181" s="13" t="s">
        <v>465</v>
      </c>
      <c r="G181" s="13" t="s">
        <v>480</v>
      </c>
      <c r="H181" s="13" t="s">
        <v>478</v>
      </c>
      <c r="I181" s="13" t="s">
        <v>482</v>
      </c>
      <c r="J181" s="13" t="s">
        <v>484</v>
      </c>
      <c r="K181" s="13" t="s">
        <v>487</v>
      </c>
      <c r="L181" s="13" t="s">
        <v>488</v>
      </c>
      <c r="M181" s="13" t="s">
        <v>529</v>
      </c>
      <c r="N181" s="13" t="s">
        <v>532</v>
      </c>
    </row>
    <row r="182" spans="2:14" ht="12.75">
      <c r="B182" s="9" t="s">
        <v>213</v>
      </c>
      <c r="C182" s="283">
        <f>6759+7</f>
        <v>6766</v>
      </c>
      <c r="D182" s="283">
        <v>6845</v>
      </c>
      <c r="E182" s="283">
        <v>6895</v>
      </c>
      <c r="F182" s="283">
        <v>6939</v>
      </c>
      <c r="G182" s="283">
        <v>6985</v>
      </c>
      <c r="H182" s="283">
        <v>7045</v>
      </c>
      <c r="I182" s="283">
        <v>7122</v>
      </c>
      <c r="J182" s="283">
        <v>7167</v>
      </c>
      <c r="K182" s="171">
        <v>7218</v>
      </c>
      <c r="L182" s="171">
        <v>7243</v>
      </c>
      <c r="M182" s="171">
        <v>7268</v>
      </c>
      <c r="N182" s="171">
        <v>7296</v>
      </c>
    </row>
    <row r="183" spans="2:14" ht="12.75">
      <c r="B183" s="10" t="s">
        <v>214</v>
      </c>
      <c r="C183" s="171">
        <v>2060</v>
      </c>
      <c r="D183" s="171">
        <v>2106</v>
      </c>
      <c r="E183" s="171">
        <v>2145</v>
      </c>
      <c r="F183" s="171">
        <v>2178</v>
      </c>
      <c r="G183" s="171">
        <v>2221</v>
      </c>
      <c r="H183" s="171">
        <v>2253</v>
      </c>
      <c r="I183" s="171">
        <v>2289</v>
      </c>
      <c r="J183" s="171">
        <v>2309</v>
      </c>
      <c r="K183" s="171">
        <v>2317</v>
      </c>
      <c r="L183" s="171">
        <v>2329</v>
      </c>
      <c r="M183" s="171">
        <v>2354</v>
      </c>
      <c r="N183" s="171">
        <v>2376</v>
      </c>
    </row>
    <row r="184" spans="2:14" ht="12.75">
      <c r="B184" s="157" t="s">
        <v>215</v>
      </c>
      <c r="C184" s="171">
        <f>13614+1+10</f>
        <v>13625</v>
      </c>
      <c r="D184" s="171">
        <v>14103</v>
      </c>
      <c r="E184" s="171">
        <v>14282</v>
      </c>
      <c r="F184" s="171">
        <v>14474</v>
      </c>
      <c r="G184" s="171">
        <v>14725</v>
      </c>
      <c r="H184" s="171">
        <v>14957</v>
      </c>
      <c r="I184" s="171">
        <v>15279</v>
      </c>
      <c r="J184" s="171">
        <v>15503</v>
      </c>
      <c r="K184" s="171">
        <v>15703</v>
      </c>
      <c r="L184" s="171">
        <v>15883</v>
      </c>
      <c r="M184" s="171">
        <v>16042</v>
      </c>
      <c r="N184" s="171">
        <v>16160</v>
      </c>
    </row>
    <row r="185" spans="2:14" ht="12.75">
      <c r="B185" s="140" t="s">
        <v>216</v>
      </c>
      <c r="C185" s="171">
        <v>2199</v>
      </c>
      <c r="D185" s="171">
        <v>2265</v>
      </c>
      <c r="E185" s="171">
        <v>2296</v>
      </c>
      <c r="F185" s="171">
        <v>2328</v>
      </c>
      <c r="G185" s="171">
        <v>2361</v>
      </c>
      <c r="H185" s="171">
        <v>2411</v>
      </c>
      <c r="I185" s="171">
        <v>2465</v>
      </c>
      <c r="J185" s="171">
        <v>2500</v>
      </c>
      <c r="K185" s="171">
        <v>2518</v>
      </c>
      <c r="L185" s="171">
        <v>2551</v>
      </c>
      <c r="M185" s="171">
        <v>2590</v>
      </c>
      <c r="N185" s="171">
        <v>2606</v>
      </c>
    </row>
    <row r="186" spans="2:14" ht="12.75">
      <c r="B186" s="140" t="s">
        <v>217</v>
      </c>
      <c r="C186" s="171">
        <f>4272+4</f>
        <v>4276</v>
      </c>
      <c r="D186" s="171">
        <v>4385</v>
      </c>
      <c r="E186" s="171">
        <v>4448</v>
      </c>
      <c r="F186" s="171">
        <v>4500</v>
      </c>
      <c r="G186" s="171">
        <v>4550</v>
      </c>
      <c r="H186" s="171">
        <v>4618</v>
      </c>
      <c r="I186" s="171">
        <v>4713</v>
      </c>
      <c r="J186" s="171">
        <v>4787</v>
      </c>
      <c r="K186" s="171">
        <v>4846</v>
      </c>
      <c r="L186" s="171">
        <v>4910</v>
      </c>
      <c r="M186" s="171">
        <v>4980</v>
      </c>
      <c r="N186" s="171">
        <v>5030</v>
      </c>
    </row>
    <row r="187" spans="2:14" ht="12.75">
      <c r="B187" s="140" t="s">
        <v>218</v>
      </c>
      <c r="C187" s="171">
        <f>2540+1</f>
        <v>2541</v>
      </c>
      <c r="D187" s="171">
        <v>2543</v>
      </c>
      <c r="E187" s="171">
        <v>2548</v>
      </c>
      <c r="F187" s="171">
        <v>2550</v>
      </c>
      <c r="G187" s="171">
        <v>2546</v>
      </c>
      <c r="H187" s="171">
        <v>2546</v>
      </c>
      <c r="I187" s="171">
        <v>2555</v>
      </c>
      <c r="J187" s="171">
        <v>2552</v>
      </c>
      <c r="K187" s="171">
        <v>2551</v>
      </c>
      <c r="L187" s="171">
        <v>2542</v>
      </c>
      <c r="M187" s="171">
        <v>2542</v>
      </c>
      <c r="N187" s="171">
        <v>2543</v>
      </c>
    </row>
    <row r="188" spans="2:14" ht="12.75">
      <c r="B188" s="158" t="s">
        <v>397</v>
      </c>
      <c r="C188" s="171">
        <f>2166+3</f>
        <v>2169</v>
      </c>
      <c r="D188" s="171">
        <v>2309</v>
      </c>
      <c r="E188" s="171">
        <v>2368</v>
      </c>
      <c r="F188" s="171">
        <v>2443</v>
      </c>
      <c r="G188" s="171">
        <v>2552</v>
      </c>
      <c r="H188" s="171">
        <v>2611</v>
      </c>
      <c r="I188" s="171">
        <v>2690</v>
      </c>
      <c r="J188" s="171">
        <v>2754</v>
      </c>
      <c r="K188" s="171">
        <v>2825</v>
      </c>
      <c r="L188" s="171">
        <v>2887</v>
      </c>
      <c r="M188" s="171">
        <v>2947</v>
      </c>
      <c r="N188" s="171">
        <v>3001</v>
      </c>
    </row>
    <row r="189" spans="2:14" ht="12.75">
      <c r="B189" s="140" t="s">
        <v>219</v>
      </c>
      <c r="C189" s="171">
        <f>4575+2</f>
        <v>4577</v>
      </c>
      <c r="D189" s="171">
        <v>4722</v>
      </c>
      <c r="E189" s="171">
        <v>4805</v>
      </c>
      <c r="F189" s="171">
        <v>4895</v>
      </c>
      <c r="G189" s="171">
        <v>5002</v>
      </c>
      <c r="H189" s="171">
        <v>5152</v>
      </c>
      <c r="I189" s="171">
        <v>5309</v>
      </c>
      <c r="J189" s="171">
        <v>5414</v>
      </c>
      <c r="K189" s="171">
        <v>5471</v>
      </c>
      <c r="L189" s="171">
        <v>5540</v>
      </c>
      <c r="M189" s="171">
        <v>5595</v>
      </c>
      <c r="N189" s="171">
        <v>5637</v>
      </c>
    </row>
    <row r="190" spans="2:14" ht="12.75">
      <c r="B190" s="140" t="s">
        <v>220</v>
      </c>
      <c r="C190" s="171">
        <v>2026</v>
      </c>
      <c r="D190" s="171">
        <v>2070</v>
      </c>
      <c r="E190" s="171">
        <v>2097</v>
      </c>
      <c r="F190" s="171">
        <v>2144</v>
      </c>
      <c r="G190" s="171">
        <v>2182</v>
      </c>
      <c r="H190" s="171">
        <v>2213</v>
      </c>
      <c r="I190" s="171">
        <v>2271</v>
      </c>
      <c r="J190" s="171">
        <v>2312</v>
      </c>
      <c r="K190" s="171">
        <v>2349</v>
      </c>
      <c r="L190" s="171">
        <v>2380</v>
      </c>
      <c r="M190" s="171">
        <v>2397</v>
      </c>
      <c r="N190" s="171">
        <v>2418</v>
      </c>
    </row>
    <row r="191" spans="2:14" ht="12.75">
      <c r="B191" s="140" t="s">
        <v>221</v>
      </c>
      <c r="C191" s="171">
        <v>3379</v>
      </c>
      <c r="D191" s="171">
        <v>3476</v>
      </c>
      <c r="E191" s="171">
        <v>3532</v>
      </c>
      <c r="F191" s="171">
        <v>3578</v>
      </c>
      <c r="G191" s="171">
        <v>3628</v>
      </c>
      <c r="H191" s="171">
        <v>3679</v>
      </c>
      <c r="I191" s="171">
        <v>3752</v>
      </c>
      <c r="J191" s="171">
        <v>3793</v>
      </c>
      <c r="K191" s="171">
        <v>3819</v>
      </c>
      <c r="L191" s="171">
        <v>3850</v>
      </c>
      <c r="M191" s="171">
        <v>3895</v>
      </c>
      <c r="N191" s="171">
        <v>3928</v>
      </c>
    </row>
    <row r="192" spans="2:14" ht="12.75">
      <c r="B192" s="140" t="s">
        <v>222</v>
      </c>
      <c r="C192" s="171">
        <f>2277+1</f>
        <v>2278</v>
      </c>
      <c r="D192" s="171">
        <v>2303</v>
      </c>
      <c r="E192" s="171">
        <v>2314</v>
      </c>
      <c r="F192" s="171">
        <v>2334</v>
      </c>
      <c r="G192" s="171">
        <v>2354</v>
      </c>
      <c r="H192" s="171">
        <v>2392</v>
      </c>
      <c r="I192" s="171">
        <v>2442</v>
      </c>
      <c r="J192" s="171">
        <v>2471</v>
      </c>
      <c r="K192" s="171">
        <v>2490</v>
      </c>
      <c r="L192" s="171">
        <v>2520</v>
      </c>
      <c r="M192" s="171">
        <v>2537</v>
      </c>
      <c r="N192" s="171">
        <v>2565</v>
      </c>
    </row>
    <row r="193" spans="2:14" ht="13.5" thickBot="1">
      <c r="B193" s="142" t="s">
        <v>223</v>
      </c>
      <c r="C193" s="171">
        <f>23528+1+30</f>
        <v>23559</v>
      </c>
      <c r="D193" s="171">
        <v>24123</v>
      </c>
      <c r="E193" s="171">
        <v>24322</v>
      </c>
      <c r="F193" s="171">
        <v>24574</v>
      </c>
      <c r="G193" s="171">
        <v>24914</v>
      </c>
      <c r="H193" s="171">
        <v>25379</v>
      </c>
      <c r="I193" s="171">
        <v>26035</v>
      </c>
      <c r="J193" s="171">
        <v>26410</v>
      </c>
      <c r="K193" s="171">
        <v>26695</v>
      </c>
      <c r="L193" s="171">
        <v>26987</v>
      </c>
      <c r="M193" s="171">
        <v>27327</v>
      </c>
      <c r="N193" s="171">
        <v>27620</v>
      </c>
    </row>
    <row r="194" spans="2:14" ht="13.5" thickBot="1">
      <c r="B194" s="147" t="s">
        <v>0</v>
      </c>
      <c r="C194" s="170">
        <f aca="true" t="shared" si="6" ref="C194:M194">SUM(C182:C193)</f>
        <v>69455</v>
      </c>
      <c r="D194" s="170">
        <f t="shared" si="6"/>
        <v>71250</v>
      </c>
      <c r="E194" s="170">
        <f t="shared" si="6"/>
        <v>72052</v>
      </c>
      <c r="F194" s="170">
        <f t="shared" si="6"/>
        <v>72937</v>
      </c>
      <c r="G194" s="172">
        <f t="shared" si="6"/>
        <v>74020</v>
      </c>
      <c r="H194" s="170">
        <f t="shared" si="6"/>
        <v>75256</v>
      </c>
      <c r="I194" s="170">
        <f t="shared" si="6"/>
        <v>76922</v>
      </c>
      <c r="J194" s="170">
        <f>SUM(J182:J193)</f>
        <v>77972</v>
      </c>
      <c r="K194" s="170">
        <f t="shared" si="6"/>
        <v>78802</v>
      </c>
      <c r="L194" s="170">
        <f>SUM(L182:L193)</f>
        <v>79622</v>
      </c>
      <c r="M194" s="170">
        <f t="shared" si="6"/>
        <v>80474</v>
      </c>
      <c r="N194" s="170">
        <f>SUM(N182:N193)</f>
        <v>81180</v>
      </c>
    </row>
    <row r="196" spans="5:11" ht="12.75">
      <c r="E196" s="148"/>
      <c r="F196" s="148"/>
      <c r="G196" s="148"/>
      <c r="H196" s="148"/>
      <c r="I196" s="148"/>
      <c r="J196" s="148"/>
      <c r="K196" s="148"/>
    </row>
    <row r="198" spans="2:14" ht="12.75">
      <c r="B198" s="137" t="s">
        <v>15</v>
      </c>
      <c r="C198" s="137"/>
      <c r="D198" s="137"/>
      <c r="E198" s="137"/>
      <c r="F198" s="137"/>
      <c r="G198" s="163"/>
      <c r="H198" s="137"/>
      <c r="I198" s="137"/>
      <c r="J198" s="137"/>
      <c r="K198" s="163"/>
      <c r="L198" s="137"/>
      <c r="M198" s="121"/>
      <c r="N198" s="121"/>
    </row>
    <row r="199" spans="2:17" ht="12.75"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20"/>
      <c r="P199" s="120"/>
      <c r="Q199" s="120"/>
    </row>
    <row r="200" ht="12.75">
      <c r="B200" s="163" t="s">
        <v>106</v>
      </c>
    </row>
    <row r="202" ht="13.5" thickBot="1"/>
    <row r="203" spans="2:14" ht="21" customHeight="1" thickBot="1">
      <c r="B203" s="175" t="s">
        <v>533</v>
      </c>
      <c r="C203" s="13" t="s">
        <v>446</v>
      </c>
      <c r="D203" s="13" t="s">
        <v>448</v>
      </c>
      <c r="E203" s="13" t="s">
        <v>451</v>
      </c>
      <c r="F203" s="13" t="s">
        <v>465</v>
      </c>
      <c r="G203" s="13" t="s">
        <v>480</v>
      </c>
      <c r="H203" s="13" t="s">
        <v>478</v>
      </c>
      <c r="I203" s="13" t="s">
        <v>482</v>
      </c>
      <c r="J203" s="13" t="s">
        <v>484</v>
      </c>
      <c r="K203" s="13" t="s">
        <v>487</v>
      </c>
      <c r="L203" s="13" t="s">
        <v>488</v>
      </c>
      <c r="M203" s="13" t="s">
        <v>529</v>
      </c>
      <c r="N203" s="13" t="s">
        <v>532</v>
      </c>
    </row>
    <row r="204" spans="2:14" ht="12.75">
      <c r="B204" s="138" t="s">
        <v>224</v>
      </c>
      <c r="C204" s="283">
        <v>5893</v>
      </c>
      <c r="D204" s="283">
        <v>6048</v>
      </c>
      <c r="E204" s="283">
        <v>6140</v>
      </c>
      <c r="F204" s="283">
        <v>6213</v>
      </c>
      <c r="G204" s="283">
        <v>6297</v>
      </c>
      <c r="H204" s="283">
        <v>6388</v>
      </c>
      <c r="I204" s="283">
        <v>6507</v>
      </c>
      <c r="J204" s="283">
        <v>6567</v>
      </c>
      <c r="K204" s="283">
        <v>6599</v>
      </c>
      <c r="L204" s="283">
        <v>6645</v>
      </c>
      <c r="M204" s="283">
        <v>6692</v>
      </c>
      <c r="N204" s="283">
        <v>6724</v>
      </c>
    </row>
    <row r="205" spans="2:14" ht="12.75">
      <c r="B205" s="140" t="s">
        <v>225</v>
      </c>
      <c r="C205" s="171">
        <f>39876+33</f>
        <v>39909</v>
      </c>
      <c r="D205" s="171">
        <v>41047</v>
      </c>
      <c r="E205" s="171">
        <v>41537</v>
      </c>
      <c r="F205" s="171">
        <v>42111</v>
      </c>
      <c r="G205" s="171">
        <v>42720</v>
      </c>
      <c r="H205" s="171">
        <v>43273</v>
      </c>
      <c r="I205" s="171">
        <v>44053</v>
      </c>
      <c r="J205" s="171">
        <v>44584</v>
      </c>
      <c r="K205" s="171">
        <v>45029</v>
      </c>
      <c r="L205" s="171">
        <v>45500</v>
      </c>
      <c r="M205" s="171">
        <v>45910</v>
      </c>
      <c r="N205" s="171">
        <v>46227</v>
      </c>
    </row>
    <row r="206" spans="2:14" ht="12.75">
      <c r="B206" s="140" t="s">
        <v>226</v>
      </c>
      <c r="C206" s="171">
        <f>4028+3</f>
        <v>4031</v>
      </c>
      <c r="D206" s="171">
        <v>4118</v>
      </c>
      <c r="E206" s="171">
        <v>4166</v>
      </c>
      <c r="F206" s="171">
        <v>4220</v>
      </c>
      <c r="G206" s="171">
        <v>4269</v>
      </c>
      <c r="H206" s="171">
        <v>4327</v>
      </c>
      <c r="I206" s="171">
        <v>4413</v>
      </c>
      <c r="J206" s="171">
        <v>4458</v>
      </c>
      <c r="K206" s="171">
        <v>4487</v>
      </c>
      <c r="L206" s="171">
        <v>4509</v>
      </c>
      <c r="M206" s="171">
        <v>4559</v>
      </c>
      <c r="N206" s="171">
        <v>4591</v>
      </c>
    </row>
    <row r="207" spans="2:14" ht="12.75">
      <c r="B207" s="140" t="s">
        <v>402</v>
      </c>
      <c r="C207" s="171">
        <v>784</v>
      </c>
      <c r="D207" s="171">
        <v>826</v>
      </c>
      <c r="E207" s="171">
        <v>846</v>
      </c>
      <c r="F207" s="171">
        <v>862</v>
      </c>
      <c r="G207" s="171">
        <v>885</v>
      </c>
      <c r="H207" s="171">
        <v>902</v>
      </c>
      <c r="I207" s="171">
        <v>925</v>
      </c>
      <c r="J207" s="171">
        <v>937</v>
      </c>
      <c r="K207" s="171">
        <v>947</v>
      </c>
      <c r="L207" s="171">
        <v>954</v>
      </c>
      <c r="M207" s="171">
        <v>966</v>
      </c>
      <c r="N207" s="171">
        <v>977</v>
      </c>
    </row>
    <row r="208" spans="2:14" ht="12.75">
      <c r="B208" s="140" t="s">
        <v>227</v>
      </c>
      <c r="C208" s="171">
        <f>11984+7</f>
        <v>11991</v>
      </c>
      <c r="D208" s="171">
        <v>12214</v>
      </c>
      <c r="E208" s="171">
        <v>12295</v>
      </c>
      <c r="F208" s="171">
        <v>12409</v>
      </c>
      <c r="G208" s="171">
        <v>12562</v>
      </c>
      <c r="H208" s="171">
        <v>12699</v>
      </c>
      <c r="I208" s="171">
        <v>12878</v>
      </c>
      <c r="J208" s="171">
        <v>13028</v>
      </c>
      <c r="K208" s="171">
        <v>13111</v>
      </c>
      <c r="L208" s="171">
        <v>13202</v>
      </c>
      <c r="M208" s="171">
        <v>13297</v>
      </c>
      <c r="N208" s="171">
        <v>13373</v>
      </c>
    </row>
    <row r="209" spans="2:14" ht="12.75">
      <c r="B209" s="140" t="s">
        <v>228</v>
      </c>
      <c r="C209" s="171">
        <f>1+3356+1</f>
        <v>3358</v>
      </c>
      <c r="D209" s="171">
        <v>3446</v>
      </c>
      <c r="E209" s="171">
        <v>3471</v>
      </c>
      <c r="F209" s="171">
        <v>3520</v>
      </c>
      <c r="G209" s="171">
        <v>3568</v>
      </c>
      <c r="H209" s="171">
        <v>3618</v>
      </c>
      <c r="I209" s="171">
        <v>3693</v>
      </c>
      <c r="J209" s="171">
        <v>3741</v>
      </c>
      <c r="K209" s="171">
        <v>3787</v>
      </c>
      <c r="L209" s="171">
        <v>3814</v>
      </c>
      <c r="M209" s="171">
        <v>3854</v>
      </c>
      <c r="N209" s="171">
        <v>3875</v>
      </c>
    </row>
    <row r="210" spans="2:14" ht="12.75">
      <c r="B210" s="140" t="s">
        <v>229</v>
      </c>
      <c r="C210" s="171">
        <f>2802+1+1</f>
        <v>2804</v>
      </c>
      <c r="D210" s="171">
        <v>2834</v>
      </c>
      <c r="E210" s="171">
        <v>2858</v>
      </c>
      <c r="F210" s="171">
        <v>2884</v>
      </c>
      <c r="G210" s="171">
        <v>2910</v>
      </c>
      <c r="H210" s="171">
        <v>2936</v>
      </c>
      <c r="I210" s="171">
        <v>2971</v>
      </c>
      <c r="J210" s="171">
        <v>2990</v>
      </c>
      <c r="K210" s="171">
        <v>3022</v>
      </c>
      <c r="L210" s="171">
        <v>3039</v>
      </c>
      <c r="M210" s="171">
        <v>3059</v>
      </c>
      <c r="N210" s="171">
        <v>3078</v>
      </c>
    </row>
    <row r="211" spans="2:14" ht="12.75">
      <c r="B211" s="142" t="s">
        <v>230</v>
      </c>
      <c r="C211" s="171">
        <f>13939+13</f>
        <v>13952</v>
      </c>
      <c r="D211" s="171">
        <v>14156</v>
      </c>
      <c r="E211" s="171">
        <v>14255</v>
      </c>
      <c r="F211" s="171">
        <v>14380</v>
      </c>
      <c r="G211" s="171">
        <v>14547</v>
      </c>
      <c r="H211" s="171">
        <v>14716</v>
      </c>
      <c r="I211" s="171">
        <v>14917</v>
      </c>
      <c r="J211" s="171">
        <v>15052</v>
      </c>
      <c r="K211" s="171">
        <v>15075</v>
      </c>
      <c r="L211" s="171">
        <v>15053</v>
      </c>
      <c r="M211" s="171">
        <v>15122</v>
      </c>
      <c r="N211" s="171">
        <v>15161</v>
      </c>
    </row>
    <row r="212" spans="2:14" ht="13.5" thickBot="1">
      <c r="B212" s="145" t="s">
        <v>231</v>
      </c>
      <c r="C212" s="171">
        <f>2596+1</f>
        <v>2597</v>
      </c>
      <c r="D212" s="171">
        <v>2667</v>
      </c>
      <c r="E212" s="171">
        <v>2710</v>
      </c>
      <c r="F212" s="171">
        <v>2750</v>
      </c>
      <c r="G212" s="171">
        <v>2791</v>
      </c>
      <c r="H212" s="171">
        <v>2846</v>
      </c>
      <c r="I212" s="171">
        <v>2909</v>
      </c>
      <c r="J212" s="171">
        <v>2953</v>
      </c>
      <c r="K212" s="171">
        <v>2987</v>
      </c>
      <c r="L212" s="171">
        <v>3013</v>
      </c>
      <c r="M212" s="171">
        <v>3037</v>
      </c>
      <c r="N212" s="171">
        <v>3046</v>
      </c>
    </row>
    <row r="213" spans="2:14" ht="13.5" thickBot="1">
      <c r="B213" s="147" t="s">
        <v>0</v>
      </c>
      <c r="C213" s="172">
        <f aca="true" t="shared" si="7" ref="C213:M213">SUM(C204:C212)</f>
        <v>85319</v>
      </c>
      <c r="D213" s="172">
        <f t="shared" si="7"/>
        <v>87356</v>
      </c>
      <c r="E213" s="172">
        <f t="shared" si="7"/>
        <v>88278</v>
      </c>
      <c r="F213" s="172">
        <f t="shared" si="7"/>
        <v>89349</v>
      </c>
      <c r="G213" s="172">
        <f t="shared" si="7"/>
        <v>90549</v>
      </c>
      <c r="H213" s="172">
        <f t="shared" si="7"/>
        <v>91705</v>
      </c>
      <c r="I213" s="172">
        <f t="shared" si="7"/>
        <v>93266</v>
      </c>
      <c r="J213" s="172">
        <f>SUM(J204:J212)</f>
        <v>94310</v>
      </c>
      <c r="K213" s="172">
        <f t="shared" si="7"/>
        <v>95044</v>
      </c>
      <c r="L213" s="172">
        <f>SUM(L204:L212)</f>
        <v>95729</v>
      </c>
      <c r="M213" s="172">
        <f t="shared" si="7"/>
        <v>96496</v>
      </c>
      <c r="N213" s="172">
        <f>SUM(N204:N212)</f>
        <v>97052</v>
      </c>
    </row>
    <row r="214" spans="4:14" ht="12.75"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</row>
    <row r="215" spans="5:11" ht="12.75">
      <c r="E215" s="148"/>
      <c r="F215" s="148"/>
      <c r="G215" s="148"/>
      <c r="H215" s="148"/>
      <c r="I215" s="148"/>
      <c r="J215" s="148"/>
      <c r="K215" s="148"/>
    </row>
    <row r="217" spans="2:17" ht="12.75">
      <c r="B217" s="163" t="s">
        <v>16</v>
      </c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200"/>
      <c r="N217" s="200"/>
      <c r="O217" s="200"/>
      <c r="P217" s="200"/>
      <c r="Q217" s="200"/>
    </row>
    <row r="218" spans="2:17" ht="12.75"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20"/>
      <c r="P218" s="120"/>
      <c r="Q218" s="120"/>
    </row>
    <row r="219" spans="2:14" ht="12.75">
      <c r="B219" s="137" t="s">
        <v>106</v>
      </c>
      <c r="C219" s="137"/>
      <c r="D219" s="137"/>
      <c r="E219" s="137"/>
      <c r="F219" s="137"/>
      <c r="G219" s="163"/>
      <c r="H219" s="137"/>
      <c r="I219" s="137"/>
      <c r="J219" s="137"/>
      <c r="K219" s="163"/>
      <c r="L219" s="137"/>
      <c r="M219" s="121"/>
      <c r="N219" s="121"/>
    </row>
    <row r="220" spans="2:14" ht="12.75"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</row>
    <row r="221" spans="2:14" ht="13.5" thickBot="1"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</row>
    <row r="222" spans="2:14" ht="21" customHeight="1" thickBot="1">
      <c r="B222" s="175" t="s">
        <v>533</v>
      </c>
      <c r="C222" s="13" t="s">
        <v>446</v>
      </c>
      <c r="D222" s="13" t="s">
        <v>448</v>
      </c>
      <c r="E222" s="13" t="s">
        <v>451</v>
      </c>
      <c r="F222" s="13" t="s">
        <v>465</v>
      </c>
      <c r="G222" s="13" t="s">
        <v>480</v>
      </c>
      <c r="H222" s="13" t="s">
        <v>478</v>
      </c>
      <c r="I222" s="13" t="s">
        <v>482</v>
      </c>
      <c r="J222" s="13" t="s">
        <v>484</v>
      </c>
      <c r="K222" s="13" t="s">
        <v>487</v>
      </c>
      <c r="L222" s="13" t="s">
        <v>488</v>
      </c>
      <c r="M222" s="13" t="s">
        <v>529</v>
      </c>
      <c r="N222" s="13" t="s">
        <v>532</v>
      </c>
    </row>
    <row r="223" spans="2:14" ht="12.75">
      <c r="B223" s="160" t="s">
        <v>232</v>
      </c>
      <c r="C223" s="283">
        <f>3274+4</f>
        <v>3278</v>
      </c>
      <c r="D223" s="283">
        <v>3334</v>
      </c>
      <c r="E223" s="283">
        <v>3374</v>
      </c>
      <c r="F223" s="283">
        <v>3406</v>
      </c>
      <c r="G223" s="283">
        <v>3439</v>
      </c>
      <c r="H223" s="283">
        <v>3484</v>
      </c>
      <c r="I223" s="283">
        <v>3534</v>
      </c>
      <c r="J223" s="283">
        <v>3573</v>
      </c>
      <c r="K223" s="283">
        <v>3602</v>
      </c>
      <c r="L223" s="283">
        <v>3630</v>
      </c>
      <c r="M223" s="283">
        <v>3649</v>
      </c>
      <c r="N223" s="283">
        <v>3673</v>
      </c>
    </row>
    <row r="224" spans="2:14" ht="12.75">
      <c r="B224" s="161" t="s">
        <v>233</v>
      </c>
      <c r="C224" s="171">
        <v>1289</v>
      </c>
      <c r="D224" s="171">
        <v>1309</v>
      </c>
      <c r="E224" s="171">
        <v>1320</v>
      </c>
      <c r="F224" s="171">
        <v>1332</v>
      </c>
      <c r="G224" s="171">
        <v>1341</v>
      </c>
      <c r="H224" s="171">
        <v>1369</v>
      </c>
      <c r="I224" s="171">
        <v>1401</v>
      </c>
      <c r="J224" s="171">
        <v>1423</v>
      </c>
      <c r="K224" s="171">
        <v>1443</v>
      </c>
      <c r="L224" s="171">
        <v>1460</v>
      </c>
      <c r="M224" s="171">
        <v>1472</v>
      </c>
      <c r="N224" s="171">
        <v>1489</v>
      </c>
    </row>
    <row r="225" spans="2:14" ht="12.75">
      <c r="B225" s="161" t="s">
        <v>234</v>
      </c>
      <c r="C225" s="171">
        <v>4681</v>
      </c>
      <c r="D225" s="171">
        <v>4762</v>
      </c>
      <c r="E225" s="171">
        <v>4801</v>
      </c>
      <c r="F225" s="171">
        <v>4842</v>
      </c>
      <c r="G225" s="171">
        <v>4897</v>
      </c>
      <c r="H225" s="171">
        <v>4987</v>
      </c>
      <c r="I225" s="171">
        <v>5032</v>
      </c>
      <c r="J225" s="171">
        <v>5094</v>
      </c>
      <c r="K225" s="171">
        <v>5134</v>
      </c>
      <c r="L225" s="171">
        <v>5173</v>
      </c>
      <c r="M225" s="171">
        <v>5214</v>
      </c>
      <c r="N225" s="171">
        <v>5250</v>
      </c>
    </row>
    <row r="226" spans="2:14" ht="12.75">
      <c r="B226" s="161" t="s">
        <v>235</v>
      </c>
      <c r="C226" s="171">
        <v>1654</v>
      </c>
      <c r="D226" s="171">
        <v>1676</v>
      </c>
      <c r="E226" s="171">
        <v>1684</v>
      </c>
      <c r="F226" s="171">
        <v>1699</v>
      </c>
      <c r="G226" s="171">
        <v>1715</v>
      </c>
      <c r="H226" s="171">
        <v>1736</v>
      </c>
      <c r="I226" s="171">
        <v>1758</v>
      </c>
      <c r="J226" s="171">
        <v>1775</v>
      </c>
      <c r="K226" s="171">
        <v>1784</v>
      </c>
      <c r="L226" s="171">
        <v>1804</v>
      </c>
      <c r="M226" s="171">
        <v>1817</v>
      </c>
      <c r="N226" s="171">
        <v>1826</v>
      </c>
    </row>
    <row r="227" spans="2:14" ht="12.75">
      <c r="B227" s="161" t="s">
        <v>236</v>
      </c>
      <c r="C227" s="171">
        <v>1560</v>
      </c>
      <c r="D227" s="171">
        <v>1586</v>
      </c>
      <c r="E227" s="171">
        <v>1605</v>
      </c>
      <c r="F227" s="171">
        <v>1628</v>
      </c>
      <c r="G227" s="171">
        <v>1639</v>
      </c>
      <c r="H227" s="171">
        <v>1670</v>
      </c>
      <c r="I227" s="171">
        <v>1691</v>
      </c>
      <c r="J227" s="171">
        <v>1705</v>
      </c>
      <c r="K227" s="171">
        <v>1716</v>
      </c>
      <c r="L227" s="171">
        <v>1737</v>
      </c>
      <c r="M227" s="171">
        <v>1753</v>
      </c>
      <c r="N227" s="171">
        <v>1766</v>
      </c>
    </row>
    <row r="228" spans="2:14" ht="12.75">
      <c r="B228" s="161" t="s">
        <v>237</v>
      </c>
      <c r="C228" s="171">
        <f>41677+32+2</f>
        <v>41711</v>
      </c>
      <c r="D228" s="171">
        <v>43187</v>
      </c>
      <c r="E228" s="171">
        <v>43879</v>
      </c>
      <c r="F228" s="171">
        <v>44484</v>
      </c>
      <c r="G228" s="171">
        <v>45260</v>
      </c>
      <c r="H228" s="171">
        <v>46141</v>
      </c>
      <c r="I228" s="171">
        <v>46901</v>
      </c>
      <c r="J228" s="171">
        <v>47495</v>
      </c>
      <c r="K228" s="171">
        <v>48012</v>
      </c>
      <c r="L228" s="171">
        <v>48565</v>
      </c>
      <c r="M228" s="171">
        <v>49157</v>
      </c>
      <c r="N228" s="171">
        <v>49752</v>
      </c>
    </row>
    <row r="229" spans="2:14" ht="12.75">
      <c r="B229" s="161" t="s">
        <v>238</v>
      </c>
      <c r="C229" s="171">
        <f>3839+1</f>
        <v>3840</v>
      </c>
      <c r="D229" s="171">
        <v>3906</v>
      </c>
      <c r="E229" s="171">
        <v>3940</v>
      </c>
      <c r="F229" s="171">
        <v>3992</v>
      </c>
      <c r="G229" s="171">
        <v>4032</v>
      </c>
      <c r="H229" s="171">
        <v>4083</v>
      </c>
      <c r="I229" s="171">
        <v>4134</v>
      </c>
      <c r="J229" s="171">
        <v>4155</v>
      </c>
      <c r="K229" s="171">
        <v>4202</v>
      </c>
      <c r="L229" s="171">
        <v>4240</v>
      </c>
      <c r="M229" s="171">
        <v>4346</v>
      </c>
      <c r="N229" s="171">
        <v>4413</v>
      </c>
    </row>
    <row r="230" spans="2:14" ht="12.75">
      <c r="B230" s="161" t="s">
        <v>239</v>
      </c>
      <c r="C230" s="171">
        <f>2978+2</f>
        <v>2980</v>
      </c>
      <c r="D230" s="171">
        <v>3015</v>
      </c>
      <c r="E230" s="171">
        <v>3028</v>
      </c>
      <c r="F230" s="171">
        <v>3047</v>
      </c>
      <c r="G230" s="171">
        <v>3069</v>
      </c>
      <c r="H230" s="171">
        <v>3100</v>
      </c>
      <c r="I230" s="171">
        <v>3119</v>
      </c>
      <c r="J230" s="171">
        <v>3137</v>
      </c>
      <c r="K230" s="171">
        <v>3156</v>
      </c>
      <c r="L230" s="171">
        <v>3188</v>
      </c>
      <c r="M230" s="171">
        <v>3212</v>
      </c>
      <c r="N230" s="171">
        <v>3235</v>
      </c>
    </row>
    <row r="231" spans="2:14" ht="12.75">
      <c r="B231" s="161" t="s">
        <v>240</v>
      </c>
      <c r="C231" s="171">
        <f>6167+6</f>
        <v>6173</v>
      </c>
      <c r="D231" s="171">
        <v>6310</v>
      </c>
      <c r="E231" s="171">
        <v>6364</v>
      </c>
      <c r="F231" s="171">
        <v>6454</v>
      </c>
      <c r="G231" s="171">
        <v>6517</v>
      </c>
      <c r="H231" s="171">
        <v>6637</v>
      </c>
      <c r="I231" s="171">
        <v>6722</v>
      </c>
      <c r="J231" s="171">
        <v>6789</v>
      </c>
      <c r="K231" s="171">
        <v>6848</v>
      </c>
      <c r="L231" s="171">
        <v>6903</v>
      </c>
      <c r="M231" s="171">
        <v>6961</v>
      </c>
      <c r="N231" s="171">
        <v>7050</v>
      </c>
    </row>
    <row r="232" spans="2:14" ht="12.75">
      <c r="B232" s="161" t="s">
        <v>241</v>
      </c>
      <c r="C232" s="171">
        <f>1795+1</f>
        <v>1796</v>
      </c>
      <c r="D232" s="171">
        <v>1841</v>
      </c>
      <c r="E232" s="171">
        <v>1859</v>
      </c>
      <c r="F232" s="171">
        <v>1869</v>
      </c>
      <c r="G232" s="171">
        <v>1884</v>
      </c>
      <c r="H232" s="171">
        <v>1923</v>
      </c>
      <c r="I232" s="171">
        <v>1965</v>
      </c>
      <c r="J232" s="171">
        <v>1982</v>
      </c>
      <c r="K232" s="171">
        <v>2001</v>
      </c>
      <c r="L232" s="171">
        <v>2008</v>
      </c>
      <c r="M232" s="171">
        <v>2018</v>
      </c>
      <c r="N232" s="171">
        <v>2030</v>
      </c>
    </row>
    <row r="233" spans="2:14" ht="12.75">
      <c r="B233" s="161" t="s">
        <v>242</v>
      </c>
      <c r="C233" s="171">
        <v>1673</v>
      </c>
      <c r="D233" s="171">
        <v>1716</v>
      </c>
      <c r="E233" s="171">
        <v>1737</v>
      </c>
      <c r="F233" s="171">
        <v>1762</v>
      </c>
      <c r="G233" s="171">
        <v>1804</v>
      </c>
      <c r="H233" s="171">
        <v>1869</v>
      </c>
      <c r="I233" s="171">
        <v>1961</v>
      </c>
      <c r="J233" s="171">
        <v>2010</v>
      </c>
      <c r="K233" s="171">
        <v>2050</v>
      </c>
      <c r="L233" s="171">
        <v>2103</v>
      </c>
      <c r="M233" s="171">
        <v>2151</v>
      </c>
      <c r="N233" s="171">
        <v>2178</v>
      </c>
    </row>
    <row r="234" spans="2:14" ht="12.75">
      <c r="B234" s="161" t="s">
        <v>243</v>
      </c>
      <c r="C234" s="171">
        <v>1546</v>
      </c>
      <c r="D234" s="171">
        <v>1552</v>
      </c>
      <c r="E234" s="171">
        <v>1563</v>
      </c>
      <c r="F234" s="171">
        <v>1565</v>
      </c>
      <c r="G234" s="171">
        <v>1550</v>
      </c>
      <c r="H234" s="171">
        <v>1535</v>
      </c>
      <c r="I234" s="171">
        <v>1520</v>
      </c>
      <c r="J234" s="171">
        <v>1508</v>
      </c>
      <c r="K234" s="171">
        <v>1501</v>
      </c>
      <c r="L234" s="171">
        <v>1484</v>
      </c>
      <c r="M234" s="171">
        <v>1473</v>
      </c>
      <c r="N234" s="171">
        <v>1468</v>
      </c>
    </row>
    <row r="235" spans="2:14" ht="12.75">
      <c r="B235" s="161" t="s">
        <v>244</v>
      </c>
      <c r="C235" s="171">
        <f>3817+2</f>
        <v>3819</v>
      </c>
      <c r="D235" s="171">
        <v>3907</v>
      </c>
      <c r="E235" s="171">
        <v>3940</v>
      </c>
      <c r="F235" s="171">
        <v>3987</v>
      </c>
      <c r="G235" s="171">
        <v>4010</v>
      </c>
      <c r="H235" s="171">
        <v>4082</v>
      </c>
      <c r="I235" s="171">
        <v>4138</v>
      </c>
      <c r="J235" s="171">
        <v>4172</v>
      </c>
      <c r="K235" s="171">
        <v>4193</v>
      </c>
      <c r="L235" s="171">
        <v>4220</v>
      </c>
      <c r="M235" s="171">
        <v>4245</v>
      </c>
      <c r="N235" s="171">
        <v>4277</v>
      </c>
    </row>
    <row r="236" spans="2:14" ht="12.75">
      <c r="B236" s="161" t="s">
        <v>245</v>
      </c>
      <c r="C236" s="173">
        <f>1903+3</f>
        <v>1906</v>
      </c>
      <c r="D236" s="173">
        <v>1938</v>
      </c>
      <c r="E236" s="173">
        <v>1962</v>
      </c>
      <c r="F236" s="173">
        <v>1979</v>
      </c>
      <c r="G236" s="173">
        <v>1998</v>
      </c>
      <c r="H236" s="173">
        <v>2021</v>
      </c>
      <c r="I236" s="173">
        <v>2053</v>
      </c>
      <c r="J236" s="173">
        <v>2075</v>
      </c>
      <c r="K236" s="171">
        <v>2088</v>
      </c>
      <c r="L236" s="171">
        <v>2114</v>
      </c>
      <c r="M236" s="171">
        <v>2141</v>
      </c>
      <c r="N236" s="171">
        <v>2156</v>
      </c>
    </row>
    <row r="237" spans="2:14" ht="12.75">
      <c r="B237" s="161" t="s">
        <v>246</v>
      </c>
      <c r="C237" s="171">
        <f>7048+4</f>
        <v>7052</v>
      </c>
      <c r="D237" s="171">
        <v>7157</v>
      </c>
      <c r="E237" s="171">
        <v>7206</v>
      </c>
      <c r="F237" s="171">
        <v>7285</v>
      </c>
      <c r="G237" s="171">
        <v>7363</v>
      </c>
      <c r="H237" s="171">
        <v>7484</v>
      </c>
      <c r="I237" s="171">
        <v>7573</v>
      </c>
      <c r="J237" s="171">
        <v>7634</v>
      </c>
      <c r="K237" s="171">
        <v>7712</v>
      </c>
      <c r="L237" s="171">
        <v>7799</v>
      </c>
      <c r="M237" s="171">
        <v>7852</v>
      </c>
      <c r="N237" s="171">
        <v>7901</v>
      </c>
    </row>
    <row r="238" spans="2:14" ht="12.75">
      <c r="B238" s="161" t="s">
        <v>247</v>
      </c>
      <c r="C238" s="171">
        <f>1441+1</f>
        <v>1442</v>
      </c>
      <c r="D238" s="171">
        <v>1460</v>
      </c>
      <c r="E238" s="171">
        <v>1470</v>
      </c>
      <c r="F238" s="171">
        <v>1491</v>
      </c>
      <c r="G238" s="171">
        <v>1512</v>
      </c>
      <c r="H238" s="171">
        <v>1539</v>
      </c>
      <c r="I238" s="171">
        <v>1564</v>
      </c>
      <c r="J238" s="171">
        <v>1577</v>
      </c>
      <c r="K238" s="171">
        <v>1594</v>
      </c>
      <c r="L238" s="171">
        <v>1620</v>
      </c>
      <c r="M238" s="171">
        <v>1639</v>
      </c>
      <c r="N238" s="171">
        <v>1647</v>
      </c>
    </row>
    <row r="239" spans="2:14" ht="12.75">
      <c r="B239" s="161" t="s">
        <v>248</v>
      </c>
      <c r="C239" s="171">
        <f>2185+1</f>
        <v>2186</v>
      </c>
      <c r="D239" s="171">
        <v>2240</v>
      </c>
      <c r="E239" s="171">
        <v>2253</v>
      </c>
      <c r="F239" s="171">
        <v>2286</v>
      </c>
      <c r="G239" s="171">
        <v>2333</v>
      </c>
      <c r="H239" s="171">
        <v>2385</v>
      </c>
      <c r="I239" s="171">
        <v>2446</v>
      </c>
      <c r="J239" s="171">
        <v>2484</v>
      </c>
      <c r="K239" s="171">
        <v>2517</v>
      </c>
      <c r="L239" s="171">
        <v>2573</v>
      </c>
      <c r="M239" s="171">
        <v>2608</v>
      </c>
      <c r="N239" s="171">
        <v>2625</v>
      </c>
    </row>
    <row r="240" spans="2:14" ht="12.75">
      <c r="B240" s="161" t="s">
        <v>249</v>
      </c>
      <c r="C240" s="171">
        <f>2342+1</f>
        <v>2343</v>
      </c>
      <c r="D240" s="171">
        <v>2383</v>
      </c>
      <c r="E240" s="171">
        <v>2399</v>
      </c>
      <c r="F240" s="171">
        <v>2415</v>
      </c>
      <c r="G240" s="171">
        <v>2444</v>
      </c>
      <c r="H240" s="171">
        <v>2474</v>
      </c>
      <c r="I240" s="171">
        <v>2510</v>
      </c>
      <c r="J240" s="171">
        <v>2539</v>
      </c>
      <c r="K240" s="171">
        <v>2564</v>
      </c>
      <c r="L240" s="171">
        <v>2593</v>
      </c>
      <c r="M240" s="171">
        <v>2615</v>
      </c>
      <c r="N240" s="171">
        <v>2631</v>
      </c>
    </row>
    <row r="241" spans="2:14" ht="13.5" thickBot="1">
      <c r="B241" s="162" t="s">
        <v>250</v>
      </c>
      <c r="C241" s="171">
        <v>4541</v>
      </c>
      <c r="D241" s="171">
        <v>4654</v>
      </c>
      <c r="E241" s="171">
        <v>4702</v>
      </c>
      <c r="F241" s="171">
        <v>4751</v>
      </c>
      <c r="G241" s="171">
        <v>4811</v>
      </c>
      <c r="H241" s="171">
        <v>4925</v>
      </c>
      <c r="I241" s="171">
        <v>5005</v>
      </c>
      <c r="J241" s="171">
        <v>5061</v>
      </c>
      <c r="K241" s="171">
        <v>5110</v>
      </c>
      <c r="L241" s="171">
        <v>5148</v>
      </c>
      <c r="M241" s="171">
        <v>5191</v>
      </c>
      <c r="N241" s="171">
        <v>5223</v>
      </c>
    </row>
    <row r="242" spans="2:14" ht="13.5" thickBot="1">
      <c r="B242" s="147"/>
      <c r="C242" s="170">
        <f aca="true" t="shared" si="8" ref="C242:M242">SUM(C223:C241)</f>
        <v>95470</v>
      </c>
      <c r="D242" s="170">
        <f t="shared" si="8"/>
        <v>97933</v>
      </c>
      <c r="E242" s="170">
        <f t="shared" si="8"/>
        <v>99086</v>
      </c>
      <c r="F242" s="170">
        <f t="shared" si="8"/>
        <v>100274</v>
      </c>
      <c r="G242" s="172">
        <f t="shared" si="8"/>
        <v>101618</v>
      </c>
      <c r="H242" s="170">
        <f t="shared" si="8"/>
        <v>103444</v>
      </c>
      <c r="I242" s="170">
        <f t="shared" si="8"/>
        <v>105027</v>
      </c>
      <c r="J242" s="170">
        <f>SUM(J223:J241)</f>
        <v>106188</v>
      </c>
      <c r="K242" s="170">
        <f t="shared" si="8"/>
        <v>107227</v>
      </c>
      <c r="L242" s="170">
        <f>SUM(L223:L241)</f>
        <v>108362</v>
      </c>
      <c r="M242" s="170">
        <f t="shared" si="8"/>
        <v>109514</v>
      </c>
      <c r="N242" s="170">
        <f>SUM(N223:N241)</f>
        <v>110590</v>
      </c>
    </row>
    <row r="244" spans="5:11" ht="12.75">
      <c r="E244" s="148"/>
      <c r="F244" s="148"/>
      <c r="G244" s="148"/>
      <c r="H244" s="148"/>
      <c r="I244" s="148"/>
      <c r="J244" s="148"/>
      <c r="K244" s="148"/>
    </row>
    <row r="246" spans="2:14" ht="12.75">
      <c r="B246" s="137" t="s">
        <v>18</v>
      </c>
      <c r="C246" s="137"/>
      <c r="D246" s="137"/>
      <c r="E246" s="137"/>
      <c r="F246" s="137"/>
      <c r="G246" s="163"/>
      <c r="H246" s="137"/>
      <c r="I246" s="137"/>
      <c r="J246" s="137"/>
      <c r="K246" s="163"/>
      <c r="L246" s="137"/>
      <c r="M246" s="121"/>
      <c r="N246" s="121"/>
    </row>
    <row r="247" spans="2:17" ht="12.75"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20"/>
      <c r="P247" s="120"/>
      <c r="Q247" s="120"/>
    </row>
    <row r="248" spans="2:14" ht="12.75">
      <c r="B248" s="137" t="s">
        <v>106</v>
      </c>
      <c r="C248" s="137"/>
      <c r="D248" s="137"/>
      <c r="E248" s="137"/>
      <c r="F248" s="137"/>
      <c r="G248" s="163"/>
      <c r="H248" s="137"/>
      <c r="I248" s="137"/>
      <c r="J248" s="137"/>
      <c r="K248" s="163"/>
      <c r="L248" s="137"/>
      <c r="M248" s="121"/>
      <c r="N248" s="121"/>
    </row>
    <row r="249" spans="14:23" ht="12.75">
      <c r="N249" s="137"/>
      <c r="W249" s="131"/>
    </row>
    <row r="250" ht="13.5" thickBot="1"/>
    <row r="251" spans="2:14" ht="21" customHeight="1" thickBot="1">
      <c r="B251" s="175" t="s">
        <v>533</v>
      </c>
      <c r="C251" s="13" t="s">
        <v>446</v>
      </c>
      <c r="D251" s="13" t="s">
        <v>448</v>
      </c>
      <c r="E251" s="13" t="s">
        <v>451</v>
      </c>
      <c r="F251" s="13" t="s">
        <v>465</v>
      </c>
      <c r="G251" s="13" t="s">
        <v>480</v>
      </c>
      <c r="H251" s="13" t="s">
        <v>478</v>
      </c>
      <c r="I251" s="13" t="s">
        <v>482</v>
      </c>
      <c r="J251" s="13" t="s">
        <v>484</v>
      </c>
      <c r="K251" s="13" t="s">
        <v>487</v>
      </c>
      <c r="L251" s="13" t="s">
        <v>488</v>
      </c>
      <c r="M251" s="13" t="s">
        <v>529</v>
      </c>
      <c r="N251" s="13" t="s">
        <v>532</v>
      </c>
    </row>
    <row r="252" spans="2:14" ht="12.75">
      <c r="B252" s="9" t="s">
        <v>251</v>
      </c>
      <c r="C252" s="283">
        <v>1259</v>
      </c>
      <c r="D252" s="283">
        <v>1268</v>
      </c>
      <c r="E252" s="283">
        <v>1278</v>
      </c>
      <c r="F252" s="283">
        <v>1293</v>
      </c>
      <c r="G252" s="283">
        <v>1306</v>
      </c>
      <c r="H252" s="283">
        <v>1325</v>
      </c>
      <c r="I252" s="283">
        <v>1352</v>
      </c>
      <c r="J252" s="283">
        <v>1360</v>
      </c>
      <c r="K252" s="283">
        <v>1365</v>
      </c>
      <c r="L252" s="283">
        <v>1377</v>
      </c>
      <c r="M252" s="283">
        <v>1386</v>
      </c>
      <c r="N252" s="283">
        <v>1389</v>
      </c>
    </row>
    <row r="253" spans="2:14" ht="12.75">
      <c r="B253" s="157" t="s">
        <v>252</v>
      </c>
      <c r="C253" s="171">
        <f>1+19043+15</f>
        <v>19059</v>
      </c>
      <c r="D253" s="171">
        <v>19186</v>
      </c>
      <c r="E253" s="171">
        <v>19245</v>
      </c>
      <c r="F253" s="171">
        <v>19320</v>
      </c>
      <c r="G253" s="171">
        <v>19353</v>
      </c>
      <c r="H253" s="171">
        <v>19476</v>
      </c>
      <c r="I253" s="171">
        <v>19687</v>
      </c>
      <c r="J253" s="171">
        <v>19846</v>
      </c>
      <c r="K253" s="171">
        <v>19951</v>
      </c>
      <c r="L253" s="171">
        <v>20024</v>
      </c>
      <c r="M253" s="171">
        <v>20124</v>
      </c>
      <c r="N253" s="171">
        <v>20235</v>
      </c>
    </row>
    <row r="254" spans="2:14" ht="12.75">
      <c r="B254" s="140" t="s">
        <v>253</v>
      </c>
      <c r="C254" s="171">
        <v>3485</v>
      </c>
      <c r="D254" s="171">
        <v>3554</v>
      </c>
      <c r="E254" s="171">
        <v>3593</v>
      </c>
      <c r="F254" s="171">
        <v>3631</v>
      </c>
      <c r="G254" s="171">
        <v>3671</v>
      </c>
      <c r="H254" s="171">
        <v>3747</v>
      </c>
      <c r="I254" s="171">
        <v>3818</v>
      </c>
      <c r="J254" s="171">
        <v>3854</v>
      </c>
      <c r="K254" s="171">
        <v>3882</v>
      </c>
      <c r="L254" s="171">
        <v>3914</v>
      </c>
      <c r="M254" s="171">
        <v>3958</v>
      </c>
      <c r="N254" s="171">
        <v>3988</v>
      </c>
    </row>
    <row r="255" spans="2:14" ht="12.75">
      <c r="B255" s="140" t="s">
        <v>254</v>
      </c>
      <c r="C255" s="171">
        <f>13719+13</f>
        <v>13732</v>
      </c>
      <c r="D255" s="171">
        <v>13926</v>
      </c>
      <c r="E255" s="171">
        <v>14019</v>
      </c>
      <c r="F255" s="171">
        <v>14136</v>
      </c>
      <c r="G255" s="171">
        <v>14276</v>
      </c>
      <c r="H255" s="171">
        <v>14473</v>
      </c>
      <c r="I255" s="171">
        <v>14726</v>
      </c>
      <c r="J255" s="171">
        <v>14850</v>
      </c>
      <c r="K255" s="171">
        <v>14956</v>
      </c>
      <c r="L255" s="171">
        <v>15054</v>
      </c>
      <c r="M255" s="171">
        <v>15119</v>
      </c>
      <c r="N255" s="171">
        <v>15217</v>
      </c>
    </row>
    <row r="256" spans="2:14" ht="12.75">
      <c r="B256" s="140" t="s">
        <v>255</v>
      </c>
      <c r="C256" s="171">
        <f>6285+3</f>
        <v>6288</v>
      </c>
      <c r="D256" s="171">
        <v>6403</v>
      </c>
      <c r="E256" s="171">
        <v>6472</v>
      </c>
      <c r="F256" s="171">
        <v>6556</v>
      </c>
      <c r="G256" s="171">
        <v>6649</v>
      </c>
      <c r="H256" s="171">
        <v>6779</v>
      </c>
      <c r="I256" s="171">
        <v>6925</v>
      </c>
      <c r="J256" s="171">
        <v>7022</v>
      </c>
      <c r="K256" s="171">
        <v>7091</v>
      </c>
      <c r="L256" s="171">
        <v>7154</v>
      </c>
      <c r="M256" s="171">
        <v>7205</v>
      </c>
      <c r="N256" s="171">
        <v>7233</v>
      </c>
    </row>
    <row r="257" spans="2:14" ht="12.75">
      <c r="B257" s="140" t="s">
        <v>256</v>
      </c>
      <c r="C257" s="171">
        <f>2462+3</f>
        <v>2465</v>
      </c>
      <c r="D257" s="171">
        <v>2504</v>
      </c>
      <c r="E257" s="171">
        <v>2539</v>
      </c>
      <c r="F257" s="171">
        <v>2562</v>
      </c>
      <c r="G257" s="171">
        <v>2604</v>
      </c>
      <c r="H257" s="171">
        <v>2637</v>
      </c>
      <c r="I257" s="171">
        <v>2689</v>
      </c>
      <c r="J257" s="171">
        <v>2704</v>
      </c>
      <c r="K257" s="171">
        <v>2739</v>
      </c>
      <c r="L257" s="171">
        <v>2765</v>
      </c>
      <c r="M257" s="171">
        <v>2791</v>
      </c>
      <c r="N257" s="171">
        <v>2803</v>
      </c>
    </row>
    <row r="258" spans="2:14" ht="12.75">
      <c r="B258" s="140" t="s">
        <v>257</v>
      </c>
      <c r="C258" s="171">
        <v>4428</v>
      </c>
      <c r="D258" s="171">
        <v>4516</v>
      </c>
      <c r="E258" s="171">
        <v>4553</v>
      </c>
      <c r="F258" s="171">
        <v>4593</v>
      </c>
      <c r="G258" s="171">
        <v>4630</v>
      </c>
      <c r="H258" s="171">
        <v>4699</v>
      </c>
      <c r="I258" s="171">
        <v>4769</v>
      </c>
      <c r="J258" s="171">
        <v>4794</v>
      </c>
      <c r="K258" s="171">
        <v>4819</v>
      </c>
      <c r="L258" s="171">
        <v>4850</v>
      </c>
      <c r="M258" s="171">
        <v>4877</v>
      </c>
      <c r="N258" s="171">
        <v>4908</v>
      </c>
    </row>
    <row r="259" spans="2:14" ht="13.5" thickBot="1">
      <c r="B259" s="145" t="s">
        <v>258</v>
      </c>
      <c r="C259" s="171">
        <v>2077</v>
      </c>
      <c r="D259" s="171">
        <v>2099</v>
      </c>
      <c r="E259" s="171">
        <v>2112</v>
      </c>
      <c r="F259" s="171">
        <v>2126</v>
      </c>
      <c r="G259" s="171">
        <v>2141</v>
      </c>
      <c r="H259" s="171">
        <v>2165</v>
      </c>
      <c r="I259" s="171">
        <v>2212</v>
      </c>
      <c r="J259" s="171">
        <v>2226</v>
      </c>
      <c r="K259" s="171">
        <v>2243</v>
      </c>
      <c r="L259" s="171">
        <v>2251</v>
      </c>
      <c r="M259" s="171">
        <v>2260</v>
      </c>
      <c r="N259" s="171">
        <v>2268</v>
      </c>
    </row>
    <row r="260" spans="2:14" ht="13.5" thickBot="1">
      <c r="B260" s="147" t="s">
        <v>0</v>
      </c>
      <c r="C260" s="170">
        <f aca="true" t="shared" si="9" ref="C260:M260">SUM(C252:C259)</f>
        <v>52793</v>
      </c>
      <c r="D260" s="170">
        <f t="shared" si="9"/>
        <v>53456</v>
      </c>
      <c r="E260" s="170">
        <f t="shared" si="9"/>
        <v>53811</v>
      </c>
      <c r="F260" s="170">
        <f t="shared" si="9"/>
        <v>54217</v>
      </c>
      <c r="G260" s="172">
        <f t="shared" si="9"/>
        <v>54630</v>
      </c>
      <c r="H260" s="170">
        <f t="shared" si="9"/>
        <v>55301</v>
      </c>
      <c r="I260" s="170">
        <f t="shared" si="9"/>
        <v>56178</v>
      </c>
      <c r="J260" s="170">
        <f>SUM(J252:J259)</f>
        <v>56656</v>
      </c>
      <c r="K260" s="170">
        <f t="shared" si="9"/>
        <v>57046</v>
      </c>
      <c r="L260" s="170">
        <f>SUM(L252:L259)</f>
        <v>57389</v>
      </c>
      <c r="M260" s="170">
        <f t="shared" si="9"/>
        <v>57720</v>
      </c>
      <c r="N260" s="170">
        <f>SUM(N252:N259)</f>
        <v>58041</v>
      </c>
    </row>
    <row r="261" spans="2:14" ht="12.75"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</row>
    <row r="262" spans="5:11" ht="12.75">
      <c r="E262" s="148"/>
      <c r="F262" s="148"/>
      <c r="G262" s="148"/>
      <c r="H262" s="148"/>
      <c r="I262" s="148"/>
      <c r="J262" s="148"/>
      <c r="K262" s="148"/>
    </row>
    <row r="264" spans="2:14" ht="12.75">
      <c r="B264" s="137" t="s">
        <v>27</v>
      </c>
      <c r="C264" s="137"/>
      <c r="D264" s="137"/>
      <c r="E264" s="137"/>
      <c r="F264" s="137"/>
      <c r="G264" s="163"/>
      <c r="H264" s="137"/>
      <c r="I264" s="137"/>
      <c r="J264" s="137"/>
      <c r="K264" s="163"/>
      <c r="L264" s="137"/>
      <c r="M264" s="121"/>
      <c r="N264" s="121"/>
    </row>
    <row r="265" spans="2:17" ht="12.75"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20"/>
      <c r="P265" s="120"/>
      <c r="Q265" s="120"/>
    </row>
    <row r="266" spans="2:14" ht="12.75">
      <c r="B266" s="137" t="s">
        <v>106</v>
      </c>
      <c r="C266" s="137"/>
      <c r="D266" s="137"/>
      <c r="E266" s="137"/>
      <c r="F266" s="137"/>
      <c r="G266" s="163"/>
      <c r="H266" s="137"/>
      <c r="I266" s="137"/>
      <c r="J266" s="137"/>
      <c r="K266" s="163"/>
      <c r="L266" s="137"/>
      <c r="M266" s="121"/>
      <c r="N266" s="121"/>
    </row>
    <row r="268" ht="13.5" thickBot="1"/>
    <row r="269" spans="2:14" ht="21" customHeight="1" thickBot="1">
      <c r="B269" s="175" t="s">
        <v>533</v>
      </c>
      <c r="C269" s="13" t="s">
        <v>446</v>
      </c>
      <c r="D269" s="13" t="s">
        <v>448</v>
      </c>
      <c r="E269" s="13" t="s">
        <v>451</v>
      </c>
      <c r="F269" s="13" t="s">
        <v>465</v>
      </c>
      <c r="G269" s="13" t="s">
        <v>480</v>
      </c>
      <c r="H269" s="13" t="s">
        <v>478</v>
      </c>
      <c r="I269" s="13" t="s">
        <v>482</v>
      </c>
      <c r="J269" s="13" t="s">
        <v>484</v>
      </c>
      <c r="K269" s="13" t="s">
        <v>487</v>
      </c>
      <c r="L269" s="13" t="s">
        <v>488</v>
      </c>
      <c r="M269" s="13" t="s">
        <v>529</v>
      </c>
      <c r="N269" s="13" t="s">
        <v>532</v>
      </c>
    </row>
    <row r="270" spans="2:14" ht="12.75">
      <c r="B270" s="138" t="s">
        <v>259</v>
      </c>
      <c r="C270" s="283">
        <f>2717+1</f>
        <v>2718</v>
      </c>
      <c r="D270" s="283">
        <v>2752</v>
      </c>
      <c r="E270" s="283">
        <v>2775</v>
      </c>
      <c r="F270" s="283">
        <v>2810</v>
      </c>
      <c r="G270" s="283">
        <v>2836</v>
      </c>
      <c r="H270" s="283">
        <v>2886</v>
      </c>
      <c r="I270" s="283">
        <v>2920</v>
      </c>
      <c r="J270" s="283">
        <v>2952</v>
      </c>
      <c r="K270" s="283">
        <v>2976</v>
      </c>
      <c r="L270" s="283">
        <v>3010</v>
      </c>
      <c r="M270" s="283">
        <v>3028</v>
      </c>
      <c r="N270" s="283">
        <v>3046</v>
      </c>
    </row>
    <row r="271" spans="2:14" ht="12.75">
      <c r="B271" s="140" t="s">
        <v>260</v>
      </c>
      <c r="C271" s="171">
        <v>2038</v>
      </c>
      <c r="D271" s="171">
        <v>2080</v>
      </c>
      <c r="E271" s="171">
        <v>2108</v>
      </c>
      <c r="F271" s="171">
        <v>2135</v>
      </c>
      <c r="G271" s="171">
        <v>2169</v>
      </c>
      <c r="H271" s="171">
        <v>2199</v>
      </c>
      <c r="I271" s="171">
        <v>2234</v>
      </c>
      <c r="J271" s="171">
        <v>2247</v>
      </c>
      <c r="K271" s="171">
        <v>2267</v>
      </c>
      <c r="L271" s="171">
        <v>2287</v>
      </c>
      <c r="M271" s="171">
        <v>2304</v>
      </c>
      <c r="N271" s="171">
        <v>2314</v>
      </c>
    </row>
    <row r="272" spans="2:14" ht="12.75">
      <c r="B272" s="140" t="s">
        <v>261</v>
      </c>
      <c r="C272" s="171">
        <f>7265+5+1</f>
        <v>7271</v>
      </c>
      <c r="D272" s="171">
        <v>7404</v>
      </c>
      <c r="E272" s="171">
        <v>7477</v>
      </c>
      <c r="F272" s="171">
        <v>7573</v>
      </c>
      <c r="G272" s="171">
        <v>7641</v>
      </c>
      <c r="H272" s="171">
        <v>7751</v>
      </c>
      <c r="I272" s="171">
        <v>7848</v>
      </c>
      <c r="J272" s="171">
        <v>7916</v>
      </c>
      <c r="K272" s="171">
        <v>7984</v>
      </c>
      <c r="L272" s="171">
        <v>8029</v>
      </c>
      <c r="M272" s="171">
        <v>8082</v>
      </c>
      <c r="N272" s="171">
        <v>8116</v>
      </c>
    </row>
    <row r="273" spans="2:14" ht="12.75">
      <c r="B273" s="140" t="s">
        <v>262</v>
      </c>
      <c r="C273" s="171">
        <f>1946+3</f>
        <v>1949</v>
      </c>
      <c r="D273" s="171">
        <v>1985</v>
      </c>
      <c r="E273" s="171">
        <v>2012</v>
      </c>
      <c r="F273" s="171">
        <v>2040</v>
      </c>
      <c r="G273" s="171">
        <v>2063</v>
      </c>
      <c r="H273" s="171">
        <v>2095</v>
      </c>
      <c r="I273" s="171">
        <v>2128</v>
      </c>
      <c r="J273" s="171">
        <v>2146</v>
      </c>
      <c r="K273" s="171">
        <v>2161</v>
      </c>
      <c r="L273" s="171">
        <v>2193</v>
      </c>
      <c r="M273" s="171">
        <v>2210</v>
      </c>
      <c r="N273" s="171">
        <v>2227</v>
      </c>
    </row>
    <row r="274" spans="2:14" ht="12.75">
      <c r="B274" s="140" t="s">
        <v>263</v>
      </c>
      <c r="C274" s="171">
        <f>3876+1+1</f>
        <v>3878</v>
      </c>
      <c r="D274" s="171">
        <v>3971</v>
      </c>
      <c r="E274" s="171">
        <v>4003</v>
      </c>
      <c r="F274" s="171">
        <v>4046</v>
      </c>
      <c r="G274" s="171">
        <v>4080</v>
      </c>
      <c r="H274" s="171">
        <v>4153</v>
      </c>
      <c r="I274" s="171">
        <v>4205</v>
      </c>
      <c r="J274" s="171">
        <v>4252</v>
      </c>
      <c r="K274" s="171">
        <v>4288</v>
      </c>
      <c r="L274" s="171">
        <v>4327</v>
      </c>
      <c r="M274" s="171">
        <v>4351</v>
      </c>
      <c r="N274" s="171">
        <v>4392</v>
      </c>
    </row>
    <row r="275" spans="2:14" ht="12.75">
      <c r="B275" s="140" t="s">
        <v>264</v>
      </c>
      <c r="C275" s="171">
        <v>2503</v>
      </c>
      <c r="D275" s="171">
        <v>2573</v>
      </c>
      <c r="E275" s="171">
        <v>2613</v>
      </c>
      <c r="F275" s="171">
        <v>2646</v>
      </c>
      <c r="G275" s="171">
        <v>2675</v>
      </c>
      <c r="H275" s="171">
        <v>2721</v>
      </c>
      <c r="I275" s="171">
        <v>2764</v>
      </c>
      <c r="J275" s="171">
        <v>2812</v>
      </c>
      <c r="K275" s="171">
        <v>2827</v>
      </c>
      <c r="L275" s="171">
        <v>2844</v>
      </c>
      <c r="M275" s="171">
        <v>2865</v>
      </c>
      <c r="N275" s="171">
        <v>2870</v>
      </c>
    </row>
    <row r="276" spans="2:14" ht="12.75">
      <c r="B276" s="140" t="s">
        <v>265</v>
      </c>
      <c r="C276" s="171">
        <f>2207+2</f>
        <v>2209</v>
      </c>
      <c r="D276" s="171">
        <v>2260</v>
      </c>
      <c r="E276" s="171">
        <v>2300</v>
      </c>
      <c r="F276" s="171">
        <v>2342</v>
      </c>
      <c r="G276" s="171">
        <v>2359</v>
      </c>
      <c r="H276" s="171">
        <v>2414</v>
      </c>
      <c r="I276" s="171">
        <v>2453</v>
      </c>
      <c r="J276" s="171">
        <v>2483</v>
      </c>
      <c r="K276" s="171">
        <v>2505</v>
      </c>
      <c r="L276" s="171">
        <v>2543</v>
      </c>
      <c r="M276" s="171">
        <v>2572</v>
      </c>
      <c r="N276" s="171">
        <v>2584</v>
      </c>
    </row>
    <row r="277" spans="2:14" ht="12.75">
      <c r="B277" s="140" t="s">
        <v>266</v>
      </c>
      <c r="C277" s="171">
        <f>2549+1</f>
        <v>2550</v>
      </c>
      <c r="D277" s="171">
        <v>2599</v>
      </c>
      <c r="E277" s="171">
        <v>2634</v>
      </c>
      <c r="F277" s="171">
        <v>2680</v>
      </c>
      <c r="G277" s="171">
        <v>2719</v>
      </c>
      <c r="H277" s="171">
        <v>2775</v>
      </c>
      <c r="I277" s="171">
        <v>2834</v>
      </c>
      <c r="J277" s="171">
        <v>2860</v>
      </c>
      <c r="K277" s="171">
        <v>2890</v>
      </c>
      <c r="L277" s="171">
        <v>2923</v>
      </c>
      <c r="M277" s="171">
        <v>2952</v>
      </c>
      <c r="N277" s="171">
        <v>2980</v>
      </c>
    </row>
    <row r="278" spans="2:14" ht="12.75">
      <c r="B278" s="140" t="s">
        <v>267</v>
      </c>
      <c r="C278" s="171">
        <v>2043</v>
      </c>
      <c r="D278" s="171">
        <v>2089</v>
      </c>
      <c r="E278" s="171">
        <v>2103</v>
      </c>
      <c r="F278" s="171">
        <v>2124</v>
      </c>
      <c r="G278" s="171">
        <v>2138</v>
      </c>
      <c r="H278" s="171">
        <v>2174</v>
      </c>
      <c r="I278" s="171">
        <v>2203</v>
      </c>
      <c r="J278" s="171">
        <v>2221</v>
      </c>
      <c r="K278" s="171">
        <v>2234</v>
      </c>
      <c r="L278" s="171">
        <v>2257</v>
      </c>
      <c r="M278" s="171">
        <v>2274</v>
      </c>
      <c r="N278" s="171">
        <v>2286</v>
      </c>
    </row>
    <row r="279" spans="2:14" ht="12.75">
      <c r="B279" s="140" t="s">
        <v>268</v>
      </c>
      <c r="C279" s="171">
        <f>3352+2</f>
        <v>3354</v>
      </c>
      <c r="D279" s="171">
        <v>3406</v>
      </c>
      <c r="E279" s="171">
        <v>3444</v>
      </c>
      <c r="F279" s="171">
        <v>3485</v>
      </c>
      <c r="G279" s="171">
        <v>3520</v>
      </c>
      <c r="H279" s="171">
        <v>3613</v>
      </c>
      <c r="I279" s="171">
        <v>3686</v>
      </c>
      <c r="J279" s="171">
        <v>3727</v>
      </c>
      <c r="K279" s="171">
        <v>3772</v>
      </c>
      <c r="L279" s="171">
        <v>3800</v>
      </c>
      <c r="M279" s="171">
        <v>3835</v>
      </c>
      <c r="N279" s="171">
        <v>3872</v>
      </c>
    </row>
    <row r="280" spans="2:14" ht="12.75">
      <c r="B280" s="140" t="s">
        <v>269</v>
      </c>
      <c r="C280" s="171">
        <v>1564</v>
      </c>
      <c r="D280" s="171">
        <v>1591</v>
      </c>
      <c r="E280" s="171">
        <v>1606</v>
      </c>
      <c r="F280" s="171">
        <v>1620</v>
      </c>
      <c r="G280" s="171">
        <v>1639</v>
      </c>
      <c r="H280" s="171">
        <v>1672</v>
      </c>
      <c r="I280" s="171">
        <v>1701</v>
      </c>
      <c r="J280" s="171">
        <v>1725</v>
      </c>
      <c r="K280" s="171">
        <v>1745</v>
      </c>
      <c r="L280" s="171">
        <v>1768</v>
      </c>
      <c r="M280" s="171">
        <v>1783</v>
      </c>
      <c r="N280" s="171">
        <v>1791</v>
      </c>
    </row>
    <row r="281" spans="2:14" ht="12.75">
      <c r="B281" s="140" t="s">
        <v>270</v>
      </c>
      <c r="C281" s="171">
        <v>1469</v>
      </c>
      <c r="D281" s="171">
        <v>1495</v>
      </c>
      <c r="E281" s="171">
        <v>1508</v>
      </c>
      <c r="F281" s="171">
        <v>1517</v>
      </c>
      <c r="G281" s="171">
        <v>1524</v>
      </c>
      <c r="H281" s="171">
        <v>1543</v>
      </c>
      <c r="I281" s="171">
        <v>1558</v>
      </c>
      <c r="J281" s="171">
        <v>1574</v>
      </c>
      <c r="K281" s="171">
        <v>1582</v>
      </c>
      <c r="L281" s="171">
        <v>1593</v>
      </c>
      <c r="M281" s="171">
        <v>1604</v>
      </c>
      <c r="N281" s="171">
        <v>1605</v>
      </c>
    </row>
    <row r="282" spans="2:14" ht="12.75">
      <c r="B282" s="140" t="s">
        <v>271</v>
      </c>
      <c r="C282" s="171">
        <f>15568+9</f>
        <v>15577</v>
      </c>
      <c r="D282" s="171">
        <v>16103</v>
      </c>
      <c r="E282" s="171">
        <v>16331</v>
      </c>
      <c r="F282" s="171">
        <v>16559</v>
      </c>
      <c r="G282" s="171">
        <v>16868</v>
      </c>
      <c r="H282" s="171">
        <v>17225</v>
      </c>
      <c r="I282" s="171">
        <v>17485</v>
      </c>
      <c r="J282" s="171">
        <v>17759</v>
      </c>
      <c r="K282" s="171">
        <v>17960</v>
      </c>
      <c r="L282" s="171">
        <v>18114</v>
      </c>
      <c r="M282" s="171">
        <v>18313</v>
      </c>
      <c r="N282" s="171">
        <v>18439</v>
      </c>
    </row>
    <row r="283" spans="2:14" ht="12.75">
      <c r="B283" s="140" t="s">
        <v>272</v>
      </c>
      <c r="C283" s="171">
        <f>2475+2</f>
        <v>2477</v>
      </c>
      <c r="D283" s="171">
        <v>2511</v>
      </c>
      <c r="E283" s="171">
        <v>2518</v>
      </c>
      <c r="F283" s="171">
        <v>2547</v>
      </c>
      <c r="G283" s="171">
        <v>2570</v>
      </c>
      <c r="H283" s="171">
        <v>2583</v>
      </c>
      <c r="I283" s="171">
        <v>2622</v>
      </c>
      <c r="J283" s="171">
        <v>2640</v>
      </c>
      <c r="K283" s="171">
        <v>2661</v>
      </c>
      <c r="L283" s="171">
        <v>2675</v>
      </c>
      <c r="M283" s="171">
        <v>2685</v>
      </c>
      <c r="N283" s="171">
        <v>2696</v>
      </c>
    </row>
    <row r="284" spans="2:14" ht="12.75">
      <c r="B284" s="140" t="s">
        <v>273</v>
      </c>
      <c r="C284" s="171">
        <f>3274+3</f>
        <v>3277</v>
      </c>
      <c r="D284" s="171">
        <v>3351</v>
      </c>
      <c r="E284" s="171">
        <v>3378</v>
      </c>
      <c r="F284" s="171">
        <v>3415</v>
      </c>
      <c r="G284" s="171">
        <v>3453</v>
      </c>
      <c r="H284" s="171">
        <v>3533</v>
      </c>
      <c r="I284" s="171">
        <v>3604</v>
      </c>
      <c r="J284" s="171">
        <v>3650</v>
      </c>
      <c r="K284" s="171">
        <v>3689</v>
      </c>
      <c r="L284" s="171">
        <v>3710</v>
      </c>
      <c r="M284" s="171">
        <v>3739</v>
      </c>
      <c r="N284" s="171">
        <v>3762</v>
      </c>
    </row>
    <row r="285" spans="2:14" ht="13.5" thickBot="1">
      <c r="B285" s="145" t="s">
        <v>274</v>
      </c>
      <c r="C285" s="171">
        <f>4784+2</f>
        <v>4786</v>
      </c>
      <c r="D285" s="171">
        <v>4879</v>
      </c>
      <c r="E285" s="171">
        <v>4911</v>
      </c>
      <c r="F285" s="171">
        <v>4944</v>
      </c>
      <c r="G285" s="171">
        <v>4989</v>
      </c>
      <c r="H285" s="171">
        <v>5067</v>
      </c>
      <c r="I285" s="171">
        <v>5139</v>
      </c>
      <c r="J285" s="171">
        <v>5193</v>
      </c>
      <c r="K285" s="171">
        <v>5223</v>
      </c>
      <c r="L285" s="171">
        <v>5268</v>
      </c>
      <c r="M285" s="171">
        <v>5302</v>
      </c>
      <c r="N285" s="171">
        <v>5345</v>
      </c>
    </row>
    <row r="286" spans="2:14" ht="13.5" thickBot="1">
      <c r="B286" s="147" t="s">
        <v>0</v>
      </c>
      <c r="C286" s="172">
        <f aca="true" t="shared" si="10" ref="C286:M286">SUM(C270:C285)</f>
        <v>59663</v>
      </c>
      <c r="D286" s="172">
        <f t="shared" si="10"/>
        <v>61049</v>
      </c>
      <c r="E286" s="172">
        <f t="shared" si="10"/>
        <v>61721</v>
      </c>
      <c r="F286" s="172">
        <f t="shared" si="10"/>
        <v>62483</v>
      </c>
      <c r="G286" s="172">
        <f t="shared" si="10"/>
        <v>63243</v>
      </c>
      <c r="H286" s="172">
        <f t="shared" si="10"/>
        <v>64404</v>
      </c>
      <c r="I286" s="172">
        <f t="shared" si="10"/>
        <v>65384</v>
      </c>
      <c r="J286" s="172">
        <f>SUM(J270:J285)</f>
        <v>66157</v>
      </c>
      <c r="K286" s="172">
        <f t="shared" si="10"/>
        <v>66764</v>
      </c>
      <c r="L286" s="172">
        <f>SUM(L270:L285)</f>
        <v>67341</v>
      </c>
      <c r="M286" s="172">
        <f t="shared" si="10"/>
        <v>67899</v>
      </c>
      <c r="N286" s="172">
        <f>SUM(N270:N285)</f>
        <v>68325</v>
      </c>
    </row>
    <row r="288" spans="5:11" ht="12.75">
      <c r="E288" s="148"/>
      <c r="F288" s="148"/>
      <c r="G288" s="148"/>
      <c r="H288" s="148"/>
      <c r="I288" s="148"/>
      <c r="J288" s="148"/>
      <c r="K288" s="148"/>
    </row>
    <row r="290" spans="2:14" ht="12.75">
      <c r="B290" s="137" t="s">
        <v>19</v>
      </c>
      <c r="C290" s="137"/>
      <c r="D290" s="137"/>
      <c r="E290" s="137"/>
      <c r="F290" s="137"/>
      <c r="G290" s="163"/>
      <c r="H290" s="137"/>
      <c r="I290" s="137"/>
      <c r="J290" s="137"/>
      <c r="K290" s="163"/>
      <c r="L290" s="137"/>
      <c r="M290" s="121"/>
      <c r="N290" s="121"/>
    </row>
    <row r="291" spans="2:17" ht="12.75">
      <c r="B291" s="159"/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20"/>
      <c r="P291" s="120"/>
      <c r="Q291" s="120"/>
    </row>
    <row r="292" spans="2:14" ht="12.75">
      <c r="B292" s="137" t="s">
        <v>106</v>
      </c>
      <c r="C292" s="137"/>
      <c r="D292" s="137"/>
      <c r="E292" s="137"/>
      <c r="F292" s="137"/>
      <c r="G292" s="163"/>
      <c r="H292" s="137"/>
      <c r="I292" s="137"/>
      <c r="J292" s="137"/>
      <c r="K292" s="163"/>
      <c r="L292" s="137"/>
      <c r="M292" s="121"/>
      <c r="N292" s="121"/>
    </row>
    <row r="293" spans="2:14" ht="12.75">
      <c r="B293" s="163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</row>
    <row r="294" spans="2:14" ht="13.5" thickBot="1">
      <c r="B294" s="130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</row>
    <row r="295" spans="2:14" ht="21" customHeight="1" thickBot="1">
      <c r="B295" s="175" t="s">
        <v>533</v>
      </c>
      <c r="C295" s="13" t="s">
        <v>446</v>
      </c>
      <c r="D295" s="13" t="s">
        <v>448</v>
      </c>
      <c r="E295" s="13" t="s">
        <v>451</v>
      </c>
      <c r="F295" s="13" t="s">
        <v>465</v>
      </c>
      <c r="G295" s="13" t="s">
        <v>480</v>
      </c>
      <c r="H295" s="13" t="s">
        <v>478</v>
      </c>
      <c r="I295" s="13" t="s">
        <v>482</v>
      </c>
      <c r="J295" s="13" t="s">
        <v>484</v>
      </c>
      <c r="K295" s="13" t="s">
        <v>487</v>
      </c>
      <c r="L295" s="13" t="s">
        <v>488</v>
      </c>
      <c r="M295" s="13" t="s">
        <v>529</v>
      </c>
      <c r="N295" s="13" t="s">
        <v>532</v>
      </c>
    </row>
    <row r="296" spans="2:14" ht="12.75">
      <c r="B296" s="160" t="s">
        <v>275</v>
      </c>
      <c r="C296" s="283">
        <f>4+6904</f>
        <v>6908</v>
      </c>
      <c r="D296" s="283">
        <v>7034</v>
      </c>
      <c r="E296" s="283">
        <v>7111</v>
      </c>
      <c r="F296" s="283">
        <v>7206</v>
      </c>
      <c r="G296" s="283">
        <v>7308</v>
      </c>
      <c r="H296" s="283">
        <v>7422</v>
      </c>
      <c r="I296" s="283">
        <v>7577</v>
      </c>
      <c r="J296" s="283">
        <v>7684</v>
      </c>
      <c r="K296" s="283">
        <v>7760</v>
      </c>
      <c r="L296" s="283">
        <v>7818</v>
      </c>
      <c r="M296" s="283">
        <v>7858</v>
      </c>
      <c r="N296" s="283">
        <v>7909</v>
      </c>
    </row>
    <row r="297" spans="2:14" ht="12.75">
      <c r="B297" s="161" t="s">
        <v>276</v>
      </c>
      <c r="C297" s="171">
        <f>7251+2</f>
        <v>7253</v>
      </c>
      <c r="D297" s="171">
        <v>7458</v>
      </c>
      <c r="E297" s="171">
        <v>7499</v>
      </c>
      <c r="F297" s="171">
        <v>7564</v>
      </c>
      <c r="G297" s="171">
        <v>7640</v>
      </c>
      <c r="H297" s="171">
        <v>7722</v>
      </c>
      <c r="I297" s="171">
        <v>7859</v>
      </c>
      <c r="J297" s="171">
        <v>7929</v>
      </c>
      <c r="K297" s="171">
        <v>7983</v>
      </c>
      <c r="L297" s="171">
        <v>8043</v>
      </c>
      <c r="M297" s="171">
        <v>8107</v>
      </c>
      <c r="N297" s="171">
        <v>8138</v>
      </c>
    </row>
    <row r="298" spans="2:14" ht="12.75">
      <c r="B298" s="161" t="s">
        <v>277</v>
      </c>
      <c r="C298" s="171">
        <f>3044+5</f>
        <v>3049</v>
      </c>
      <c r="D298" s="171">
        <v>3116</v>
      </c>
      <c r="E298" s="171">
        <v>3146</v>
      </c>
      <c r="F298" s="171">
        <v>3168</v>
      </c>
      <c r="G298" s="171">
        <v>3188</v>
      </c>
      <c r="H298" s="171">
        <v>3224</v>
      </c>
      <c r="I298" s="171">
        <v>3292</v>
      </c>
      <c r="J298" s="171">
        <v>3325</v>
      </c>
      <c r="K298" s="171">
        <v>3353</v>
      </c>
      <c r="L298" s="171">
        <v>3386</v>
      </c>
      <c r="M298" s="171">
        <v>3408</v>
      </c>
      <c r="N298" s="171">
        <v>3437</v>
      </c>
    </row>
    <row r="299" spans="2:14" ht="12.75">
      <c r="B299" s="161" t="s">
        <v>278</v>
      </c>
      <c r="C299" s="171">
        <f>2587+1</f>
        <v>2588</v>
      </c>
      <c r="D299" s="171">
        <v>2650</v>
      </c>
      <c r="E299" s="171">
        <v>2685</v>
      </c>
      <c r="F299" s="171">
        <v>2722</v>
      </c>
      <c r="G299" s="171">
        <v>2773</v>
      </c>
      <c r="H299" s="171">
        <v>2814</v>
      </c>
      <c r="I299" s="171">
        <v>2891</v>
      </c>
      <c r="J299" s="171">
        <v>2940</v>
      </c>
      <c r="K299" s="171">
        <v>2959</v>
      </c>
      <c r="L299" s="171">
        <v>2994</v>
      </c>
      <c r="M299" s="171">
        <v>3021</v>
      </c>
      <c r="N299" s="171">
        <v>3070</v>
      </c>
    </row>
    <row r="300" spans="2:14" ht="12.75">
      <c r="B300" s="161" t="s">
        <v>403</v>
      </c>
      <c r="C300" s="171">
        <f>578+2</f>
        <v>580</v>
      </c>
      <c r="D300" s="171">
        <v>616</v>
      </c>
      <c r="E300" s="171">
        <v>629</v>
      </c>
      <c r="F300" s="171">
        <v>653</v>
      </c>
      <c r="G300" s="171">
        <v>689</v>
      </c>
      <c r="H300" s="171">
        <v>724</v>
      </c>
      <c r="I300" s="171">
        <v>749</v>
      </c>
      <c r="J300" s="171">
        <v>765</v>
      </c>
      <c r="K300" s="171">
        <v>773</v>
      </c>
      <c r="L300" s="171">
        <v>790</v>
      </c>
      <c r="M300" s="171">
        <v>792</v>
      </c>
      <c r="N300" s="171">
        <v>800</v>
      </c>
    </row>
    <row r="301" spans="2:14" ht="12.75">
      <c r="B301" s="161" t="s">
        <v>279</v>
      </c>
      <c r="C301" s="171">
        <f>7464+11</f>
        <v>7475</v>
      </c>
      <c r="D301" s="171">
        <v>7653</v>
      </c>
      <c r="E301" s="171">
        <v>7718</v>
      </c>
      <c r="F301" s="171">
        <v>7813</v>
      </c>
      <c r="G301" s="171">
        <v>7893</v>
      </c>
      <c r="H301" s="171">
        <v>7997</v>
      </c>
      <c r="I301" s="171">
        <v>8134</v>
      </c>
      <c r="J301" s="171">
        <v>8220</v>
      </c>
      <c r="K301" s="171">
        <v>8305</v>
      </c>
      <c r="L301" s="171">
        <v>8373</v>
      </c>
      <c r="M301" s="171">
        <v>8442</v>
      </c>
      <c r="N301" s="171">
        <v>8500</v>
      </c>
    </row>
    <row r="302" spans="2:14" ht="12.75">
      <c r="B302" s="161" t="s">
        <v>280</v>
      </c>
      <c r="C302" s="171">
        <f>4326+3</f>
        <v>4329</v>
      </c>
      <c r="D302" s="171">
        <v>4430</v>
      </c>
      <c r="E302" s="171">
        <v>4480</v>
      </c>
      <c r="F302" s="171">
        <v>4542</v>
      </c>
      <c r="G302" s="171">
        <v>4592</v>
      </c>
      <c r="H302" s="171">
        <v>4657</v>
      </c>
      <c r="I302" s="171">
        <v>4740</v>
      </c>
      <c r="J302" s="171">
        <v>4789</v>
      </c>
      <c r="K302" s="171">
        <v>4828</v>
      </c>
      <c r="L302" s="171">
        <v>4872</v>
      </c>
      <c r="M302" s="171">
        <v>4892</v>
      </c>
      <c r="N302" s="171">
        <v>4915</v>
      </c>
    </row>
    <row r="303" spans="2:14" ht="12.75">
      <c r="B303" s="164" t="s">
        <v>281</v>
      </c>
      <c r="C303" s="171">
        <f>11791+9+1</f>
        <v>11801</v>
      </c>
      <c r="D303" s="171">
        <v>12034</v>
      </c>
      <c r="E303" s="171">
        <v>12099</v>
      </c>
      <c r="F303" s="171">
        <v>12158</v>
      </c>
      <c r="G303" s="171">
        <v>12251</v>
      </c>
      <c r="H303" s="171">
        <v>12349</v>
      </c>
      <c r="I303" s="171">
        <v>12523</v>
      </c>
      <c r="J303" s="171">
        <v>12795</v>
      </c>
      <c r="K303" s="171">
        <v>12999</v>
      </c>
      <c r="L303" s="171">
        <v>13230</v>
      </c>
      <c r="M303" s="171">
        <v>13381</v>
      </c>
      <c r="N303" s="171">
        <v>13519</v>
      </c>
    </row>
    <row r="304" spans="2:14" ht="13.5" thickBot="1">
      <c r="B304" s="162" t="s">
        <v>282</v>
      </c>
      <c r="C304" s="171">
        <f>8171+12</f>
        <v>8183</v>
      </c>
      <c r="D304" s="171">
        <v>8367</v>
      </c>
      <c r="E304" s="171">
        <v>8458</v>
      </c>
      <c r="F304" s="171">
        <v>8547</v>
      </c>
      <c r="G304" s="171">
        <v>8646</v>
      </c>
      <c r="H304" s="171">
        <v>8748</v>
      </c>
      <c r="I304" s="171">
        <v>8927</v>
      </c>
      <c r="J304" s="171">
        <v>9018</v>
      </c>
      <c r="K304" s="171">
        <v>9091</v>
      </c>
      <c r="L304" s="171">
        <v>9145</v>
      </c>
      <c r="M304" s="171">
        <v>9225</v>
      </c>
      <c r="N304" s="171">
        <v>9280</v>
      </c>
    </row>
    <row r="305" spans="2:14" ht="13.5" thickBot="1">
      <c r="B305" s="147" t="s">
        <v>0</v>
      </c>
      <c r="C305" s="170">
        <f aca="true" t="shared" si="11" ref="C305:M305">SUM(C296:C304)</f>
        <v>52166</v>
      </c>
      <c r="D305" s="170">
        <f t="shared" si="11"/>
        <v>53358</v>
      </c>
      <c r="E305" s="170">
        <f t="shared" si="11"/>
        <v>53825</v>
      </c>
      <c r="F305" s="170">
        <f t="shared" si="11"/>
        <v>54373</v>
      </c>
      <c r="G305" s="172">
        <f t="shared" si="11"/>
        <v>54980</v>
      </c>
      <c r="H305" s="170">
        <f t="shared" si="11"/>
        <v>55657</v>
      </c>
      <c r="I305" s="170">
        <f t="shared" si="11"/>
        <v>56692</v>
      </c>
      <c r="J305" s="170">
        <f>SUM(J296:J304)</f>
        <v>57465</v>
      </c>
      <c r="K305" s="170">
        <f t="shared" si="11"/>
        <v>58051</v>
      </c>
      <c r="L305" s="170">
        <f>SUM(L296:L304)</f>
        <v>58651</v>
      </c>
      <c r="M305" s="170">
        <f t="shared" si="11"/>
        <v>59126</v>
      </c>
      <c r="N305" s="170">
        <f>SUM(N296:N304)</f>
        <v>59568</v>
      </c>
    </row>
    <row r="306" spans="2:14" ht="12.75">
      <c r="B306" s="163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</row>
    <row r="307" spans="5:11" ht="12.75">
      <c r="E307" s="148"/>
      <c r="F307" s="148"/>
      <c r="G307" s="148"/>
      <c r="H307" s="148"/>
      <c r="I307" s="148"/>
      <c r="J307" s="148"/>
      <c r="K307" s="148"/>
    </row>
    <row r="309" spans="2:14" ht="12.75">
      <c r="B309" s="137" t="s">
        <v>20</v>
      </c>
      <c r="C309" s="137"/>
      <c r="D309" s="137"/>
      <c r="E309" s="137"/>
      <c r="F309" s="137"/>
      <c r="G309" s="163"/>
      <c r="H309" s="137"/>
      <c r="I309" s="137"/>
      <c r="J309" s="137"/>
      <c r="K309" s="163"/>
      <c r="L309" s="137"/>
      <c r="M309" s="121"/>
      <c r="N309" s="121"/>
    </row>
    <row r="310" spans="2:17" ht="12.75"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20"/>
      <c r="P310" s="120"/>
      <c r="Q310" s="120"/>
    </row>
    <row r="311" spans="2:14" ht="12.75">
      <c r="B311" s="137" t="s">
        <v>106</v>
      </c>
      <c r="C311" s="137"/>
      <c r="D311" s="137"/>
      <c r="E311" s="137"/>
      <c r="F311" s="137"/>
      <c r="G311" s="163"/>
      <c r="H311" s="137"/>
      <c r="I311" s="137"/>
      <c r="J311" s="137"/>
      <c r="K311" s="163"/>
      <c r="L311" s="137"/>
      <c r="M311" s="121"/>
      <c r="N311" s="121"/>
    </row>
    <row r="312" spans="2:14" ht="12.75">
      <c r="B312" s="137"/>
      <c r="C312" s="137"/>
      <c r="D312" s="137"/>
      <c r="E312" s="137"/>
      <c r="F312" s="137"/>
      <c r="G312" s="163"/>
      <c r="H312" s="137"/>
      <c r="I312" s="137"/>
      <c r="J312" s="137"/>
      <c r="K312" s="163"/>
      <c r="L312" s="137"/>
      <c r="M312" s="137"/>
      <c r="N312" s="137"/>
    </row>
    <row r="313" ht="13.5" thickBot="1"/>
    <row r="314" spans="2:14" ht="21" customHeight="1" thickBot="1">
      <c r="B314" s="175" t="s">
        <v>533</v>
      </c>
      <c r="C314" s="13" t="s">
        <v>446</v>
      </c>
      <c r="D314" s="13" t="s">
        <v>448</v>
      </c>
      <c r="E314" s="13" t="s">
        <v>451</v>
      </c>
      <c r="F314" s="13" t="s">
        <v>465</v>
      </c>
      <c r="G314" s="13" t="s">
        <v>480</v>
      </c>
      <c r="H314" s="13" t="s">
        <v>478</v>
      </c>
      <c r="I314" s="13" t="s">
        <v>482</v>
      </c>
      <c r="J314" s="13" t="s">
        <v>484</v>
      </c>
      <c r="K314" s="13" t="s">
        <v>487</v>
      </c>
      <c r="L314" s="13" t="s">
        <v>488</v>
      </c>
      <c r="M314" s="13" t="s">
        <v>529</v>
      </c>
      <c r="N314" s="13" t="s">
        <v>532</v>
      </c>
    </row>
    <row r="315" spans="2:14" ht="12.75">
      <c r="B315" s="138" t="s">
        <v>283</v>
      </c>
      <c r="C315" s="283">
        <f>6356+1</f>
        <v>6357</v>
      </c>
      <c r="D315" s="283">
        <v>6511</v>
      </c>
      <c r="E315" s="283">
        <v>6594</v>
      </c>
      <c r="F315" s="283">
        <v>6659</v>
      </c>
      <c r="G315" s="283">
        <v>6747</v>
      </c>
      <c r="H315" s="283">
        <v>6889</v>
      </c>
      <c r="I315" s="283">
        <v>7036</v>
      </c>
      <c r="J315" s="283">
        <v>7131</v>
      </c>
      <c r="K315" s="283">
        <v>7199</v>
      </c>
      <c r="L315" s="283">
        <v>7246</v>
      </c>
      <c r="M315" s="283">
        <v>7315</v>
      </c>
      <c r="N315" s="283">
        <v>7354</v>
      </c>
    </row>
    <row r="316" spans="2:14" ht="12.75">
      <c r="B316" s="140" t="s">
        <v>284</v>
      </c>
      <c r="C316" s="171">
        <v>2785</v>
      </c>
      <c r="D316" s="171">
        <v>2841</v>
      </c>
      <c r="E316" s="171">
        <v>2876</v>
      </c>
      <c r="F316" s="171">
        <v>2906</v>
      </c>
      <c r="G316" s="171">
        <v>2928</v>
      </c>
      <c r="H316" s="171">
        <v>2976</v>
      </c>
      <c r="I316" s="171">
        <v>3055</v>
      </c>
      <c r="J316" s="171">
        <v>3095</v>
      </c>
      <c r="K316" s="171">
        <v>3118</v>
      </c>
      <c r="L316" s="171">
        <v>3129</v>
      </c>
      <c r="M316" s="171">
        <v>3157</v>
      </c>
      <c r="N316" s="171">
        <v>3184</v>
      </c>
    </row>
    <row r="317" spans="2:14" ht="12.75">
      <c r="B317" s="140" t="s">
        <v>285</v>
      </c>
      <c r="C317" s="171">
        <f>4642+1</f>
        <v>4643</v>
      </c>
      <c r="D317" s="171">
        <v>4676</v>
      </c>
      <c r="E317" s="171">
        <v>4713</v>
      </c>
      <c r="F317" s="171">
        <v>4768</v>
      </c>
      <c r="G317" s="171">
        <v>4823</v>
      </c>
      <c r="H317" s="171">
        <v>4884</v>
      </c>
      <c r="I317" s="171">
        <v>4947</v>
      </c>
      <c r="J317" s="171">
        <v>5002</v>
      </c>
      <c r="K317" s="171">
        <v>5048</v>
      </c>
      <c r="L317" s="171">
        <v>5105</v>
      </c>
      <c r="M317" s="171">
        <v>5141</v>
      </c>
      <c r="N317" s="171">
        <v>5181</v>
      </c>
    </row>
    <row r="318" spans="2:14" ht="12.75">
      <c r="B318" s="140" t="s">
        <v>286</v>
      </c>
      <c r="C318" s="171">
        <f>3054+5</f>
        <v>3059</v>
      </c>
      <c r="D318" s="171">
        <v>3089</v>
      </c>
      <c r="E318" s="171">
        <v>3105</v>
      </c>
      <c r="F318" s="171">
        <v>3120</v>
      </c>
      <c r="G318" s="171">
        <v>3139</v>
      </c>
      <c r="H318" s="171">
        <v>3191</v>
      </c>
      <c r="I318" s="171">
        <v>3242</v>
      </c>
      <c r="J318" s="171">
        <v>3283</v>
      </c>
      <c r="K318" s="171">
        <v>3326</v>
      </c>
      <c r="L318" s="171">
        <v>3355</v>
      </c>
      <c r="M318" s="171">
        <v>3395</v>
      </c>
      <c r="N318" s="171">
        <v>3428</v>
      </c>
    </row>
    <row r="319" spans="2:14" ht="12.75">
      <c r="B319" s="140" t="s">
        <v>287</v>
      </c>
      <c r="C319" s="171">
        <f>9677+2</f>
        <v>9679</v>
      </c>
      <c r="D319" s="171">
        <v>9903</v>
      </c>
      <c r="E319" s="171">
        <v>9996</v>
      </c>
      <c r="F319" s="171">
        <v>10092</v>
      </c>
      <c r="G319" s="171">
        <v>10176</v>
      </c>
      <c r="H319" s="171">
        <v>10323</v>
      </c>
      <c r="I319" s="171">
        <v>10544</v>
      </c>
      <c r="J319" s="171">
        <v>10663</v>
      </c>
      <c r="K319" s="171">
        <v>10779</v>
      </c>
      <c r="L319" s="171">
        <v>10855</v>
      </c>
      <c r="M319" s="171">
        <v>10954</v>
      </c>
      <c r="N319" s="171">
        <v>11008</v>
      </c>
    </row>
    <row r="320" spans="2:14" ht="13.5" thickBot="1">
      <c r="B320" s="145" t="s">
        <v>288</v>
      </c>
      <c r="C320" s="171">
        <f>2695+3</f>
        <v>2698</v>
      </c>
      <c r="D320" s="171">
        <v>2761</v>
      </c>
      <c r="E320" s="171">
        <v>2779</v>
      </c>
      <c r="F320" s="171">
        <v>2837</v>
      </c>
      <c r="G320" s="171">
        <v>2873</v>
      </c>
      <c r="H320" s="171">
        <v>2919</v>
      </c>
      <c r="I320" s="171">
        <v>3009</v>
      </c>
      <c r="J320" s="171">
        <v>3046</v>
      </c>
      <c r="K320" s="171">
        <v>3076</v>
      </c>
      <c r="L320" s="171">
        <v>3102</v>
      </c>
      <c r="M320" s="171">
        <v>3132</v>
      </c>
      <c r="N320" s="171">
        <v>3153</v>
      </c>
    </row>
    <row r="321" spans="2:14" ht="13.5" thickBot="1">
      <c r="B321" s="147" t="s">
        <v>0</v>
      </c>
      <c r="C321" s="170">
        <f aca="true" t="shared" si="12" ref="C321:M321">SUM(C315:C320)</f>
        <v>29221</v>
      </c>
      <c r="D321" s="170">
        <f t="shared" si="12"/>
        <v>29781</v>
      </c>
      <c r="E321" s="170">
        <f t="shared" si="12"/>
        <v>30063</v>
      </c>
      <c r="F321" s="170">
        <f t="shared" si="12"/>
        <v>30382</v>
      </c>
      <c r="G321" s="172">
        <f t="shared" si="12"/>
        <v>30686</v>
      </c>
      <c r="H321" s="170">
        <f t="shared" si="12"/>
        <v>31182</v>
      </c>
      <c r="I321" s="170">
        <f t="shared" si="12"/>
        <v>31833</v>
      </c>
      <c r="J321" s="170">
        <f>SUM(J315:J320)</f>
        <v>32220</v>
      </c>
      <c r="K321" s="170">
        <f t="shared" si="12"/>
        <v>32546</v>
      </c>
      <c r="L321" s="170">
        <f>SUM(L315:L320)</f>
        <v>32792</v>
      </c>
      <c r="M321" s="170">
        <f t="shared" si="12"/>
        <v>33094</v>
      </c>
      <c r="N321" s="170">
        <f>SUM(N315:N320)</f>
        <v>33308</v>
      </c>
    </row>
    <row r="322" spans="2:14" ht="12.75">
      <c r="B322" s="137"/>
      <c r="C322" s="137"/>
      <c r="D322" s="137"/>
      <c r="E322" s="137"/>
      <c r="F322" s="137"/>
      <c r="G322" s="163"/>
      <c r="H322" s="137"/>
      <c r="I322" s="137"/>
      <c r="J322" s="137"/>
      <c r="K322" s="163"/>
      <c r="L322" s="137"/>
      <c r="M322" s="137"/>
      <c r="N322" s="137"/>
    </row>
    <row r="323" spans="4:14" ht="12.75"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</row>
    <row r="325" spans="2:14" ht="12.75">
      <c r="B325" s="137" t="s">
        <v>21</v>
      </c>
      <c r="C325" s="137"/>
      <c r="D325" s="137"/>
      <c r="E325" s="137"/>
      <c r="F325" s="137"/>
      <c r="G325" s="163"/>
      <c r="H325" s="137"/>
      <c r="I325" s="137"/>
      <c r="J325" s="137"/>
      <c r="K325" s="163"/>
      <c r="L325" s="137"/>
      <c r="M325" s="121"/>
      <c r="N325" s="121"/>
    </row>
    <row r="326" spans="2:17" ht="12.75">
      <c r="B326" s="137"/>
      <c r="C326" s="137"/>
      <c r="D326" s="137"/>
      <c r="E326" s="137"/>
      <c r="F326" s="137"/>
      <c r="G326" s="163"/>
      <c r="H326" s="137"/>
      <c r="I326" s="137"/>
      <c r="J326" s="137"/>
      <c r="K326" s="163"/>
      <c r="L326" s="137"/>
      <c r="M326" s="121"/>
      <c r="N326" s="121"/>
      <c r="O326" s="120"/>
      <c r="P326" s="120"/>
      <c r="Q326" s="120"/>
    </row>
    <row r="327" spans="2:14" ht="12.75">
      <c r="B327" s="137" t="s">
        <v>106</v>
      </c>
      <c r="C327" s="137"/>
      <c r="D327" s="137"/>
      <c r="E327" s="137"/>
      <c r="F327" s="137"/>
      <c r="G327" s="163"/>
      <c r="H327" s="137"/>
      <c r="I327" s="137"/>
      <c r="J327" s="137"/>
      <c r="K327" s="163"/>
      <c r="L327" s="137"/>
      <c r="M327" s="121"/>
      <c r="N327" s="121"/>
    </row>
    <row r="328" ht="12.75">
      <c r="N328" s="137"/>
    </row>
    <row r="329" spans="2:14" ht="13.5" thickBot="1">
      <c r="B329" s="137"/>
      <c r="C329" s="137"/>
      <c r="D329" s="137"/>
      <c r="E329" s="137"/>
      <c r="F329" s="137"/>
      <c r="G329" s="163"/>
      <c r="H329" s="137"/>
      <c r="I329" s="137"/>
      <c r="J329" s="137"/>
      <c r="K329" s="163"/>
      <c r="L329" s="137"/>
      <c r="M329" s="137"/>
      <c r="N329" s="137"/>
    </row>
    <row r="330" spans="2:14" ht="21" customHeight="1" thickBot="1">
      <c r="B330" s="175" t="s">
        <v>533</v>
      </c>
      <c r="C330" s="13" t="s">
        <v>446</v>
      </c>
      <c r="D330" s="13" t="s">
        <v>448</v>
      </c>
      <c r="E330" s="13" t="s">
        <v>451</v>
      </c>
      <c r="F330" s="13" t="s">
        <v>465</v>
      </c>
      <c r="G330" s="13" t="s">
        <v>480</v>
      </c>
      <c r="H330" s="13" t="s">
        <v>478</v>
      </c>
      <c r="I330" s="13" t="s">
        <v>482</v>
      </c>
      <c r="J330" s="13" t="s">
        <v>484</v>
      </c>
      <c r="K330" s="13" t="s">
        <v>487</v>
      </c>
      <c r="L330" s="13" t="s">
        <v>488</v>
      </c>
      <c r="M330" s="13" t="s">
        <v>529</v>
      </c>
      <c r="N330" s="13" t="s">
        <v>532</v>
      </c>
    </row>
    <row r="331" spans="2:14" ht="12.75">
      <c r="B331" s="138" t="s">
        <v>289</v>
      </c>
      <c r="C331" s="283">
        <f>4756+1</f>
        <v>4757</v>
      </c>
      <c r="D331" s="283">
        <v>4842</v>
      </c>
      <c r="E331" s="283">
        <v>4888</v>
      </c>
      <c r="F331" s="283">
        <v>4957</v>
      </c>
      <c r="G331" s="283">
        <v>4992</v>
      </c>
      <c r="H331" s="283">
        <v>5081</v>
      </c>
      <c r="I331" s="283">
        <v>5189</v>
      </c>
      <c r="J331" s="283">
        <v>5278</v>
      </c>
      <c r="K331" s="283">
        <v>5337</v>
      </c>
      <c r="L331" s="283">
        <v>5406</v>
      </c>
      <c r="M331" s="283">
        <v>5465</v>
      </c>
      <c r="N331" s="283">
        <v>5517</v>
      </c>
    </row>
    <row r="332" spans="2:14" ht="12.75">
      <c r="B332" s="140" t="s">
        <v>290</v>
      </c>
      <c r="C332" s="171">
        <f>2103+4</f>
        <v>2107</v>
      </c>
      <c r="D332" s="171">
        <v>2140</v>
      </c>
      <c r="E332" s="171">
        <v>2160</v>
      </c>
      <c r="F332" s="171">
        <v>2179</v>
      </c>
      <c r="G332" s="171">
        <v>2207</v>
      </c>
      <c r="H332" s="171">
        <v>2238</v>
      </c>
      <c r="I332" s="171">
        <v>2273</v>
      </c>
      <c r="J332" s="171">
        <v>2286</v>
      </c>
      <c r="K332" s="171">
        <v>2295</v>
      </c>
      <c r="L332" s="171">
        <v>2313</v>
      </c>
      <c r="M332" s="171">
        <v>2339</v>
      </c>
      <c r="N332" s="171">
        <v>2355</v>
      </c>
    </row>
    <row r="333" spans="2:14" ht="12.75">
      <c r="B333" s="140" t="s">
        <v>291</v>
      </c>
      <c r="C333" s="171">
        <f>6923+4</f>
        <v>6927</v>
      </c>
      <c r="D333" s="171">
        <v>7142</v>
      </c>
      <c r="E333" s="171">
        <v>7227</v>
      </c>
      <c r="F333" s="171">
        <v>7320</v>
      </c>
      <c r="G333" s="171">
        <v>7444</v>
      </c>
      <c r="H333" s="171">
        <v>7559</v>
      </c>
      <c r="I333" s="171">
        <v>7703</v>
      </c>
      <c r="J333" s="171">
        <v>7822</v>
      </c>
      <c r="K333" s="171">
        <v>7918</v>
      </c>
      <c r="L333" s="171">
        <v>8020</v>
      </c>
      <c r="M333" s="171">
        <v>8119</v>
      </c>
      <c r="N333" s="171">
        <v>8202</v>
      </c>
    </row>
    <row r="334" spans="2:14" ht="12.75">
      <c r="B334" s="140" t="s">
        <v>292</v>
      </c>
      <c r="C334" s="171">
        <f>16657+2+25</f>
        <v>16684</v>
      </c>
      <c r="D334" s="171">
        <v>16978</v>
      </c>
      <c r="E334" s="171">
        <v>17174</v>
      </c>
      <c r="F334" s="171">
        <v>17372</v>
      </c>
      <c r="G334" s="171">
        <v>17597</v>
      </c>
      <c r="H334" s="171">
        <v>17790</v>
      </c>
      <c r="I334" s="171">
        <v>17971</v>
      </c>
      <c r="J334" s="171">
        <v>18130</v>
      </c>
      <c r="K334" s="171">
        <v>18317</v>
      </c>
      <c r="L334" s="171">
        <v>18442</v>
      </c>
      <c r="M334" s="171">
        <v>18611</v>
      </c>
      <c r="N334" s="171">
        <v>18723</v>
      </c>
    </row>
    <row r="335" spans="2:14" ht="12.75">
      <c r="B335" s="140" t="s">
        <v>293</v>
      </c>
      <c r="C335" s="171">
        <f>3518+1</f>
        <v>3519</v>
      </c>
      <c r="D335" s="171">
        <v>3569</v>
      </c>
      <c r="E335" s="171">
        <v>3593</v>
      </c>
      <c r="F335" s="171">
        <v>3622</v>
      </c>
      <c r="G335" s="171">
        <v>3663</v>
      </c>
      <c r="H335" s="171">
        <v>3695</v>
      </c>
      <c r="I335" s="171">
        <v>3753</v>
      </c>
      <c r="J335" s="171">
        <v>3788</v>
      </c>
      <c r="K335" s="171">
        <v>3811</v>
      </c>
      <c r="L335" s="171">
        <v>3831</v>
      </c>
      <c r="M335" s="171">
        <v>3846</v>
      </c>
      <c r="N335" s="171">
        <v>3863</v>
      </c>
    </row>
    <row r="336" spans="2:14" ht="12.75">
      <c r="B336" s="140" t="s">
        <v>294</v>
      </c>
      <c r="C336" s="171">
        <f>9070+1+3</f>
        <v>9074</v>
      </c>
      <c r="D336" s="171">
        <v>9119</v>
      </c>
      <c r="E336" s="171">
        <v>9148</v>
      </c>
      <c r="F336" s="171">
        <v>9153</v>
      </c>
      <c r="G336" s="171">
        <v>9172</v>
      </c>
      <c r="H336" s="171">
        <v>9211</v>
      </c>
      <c r="I336" s="171">
        <v>9264</v>
      </c>
      <c r="J336" s="171">
        <v>9289</v>
      </c>
      <c r="K336" s="171">
        <v>9312</v>
      </c>
      <c r="L336" s="171">
        <v>9333</v>
      </c>
      <c r="M336" s="171">
        <v>9354</v>
      </c>
      <c r="N336" s="171">
        <v>9390</v>
      </c>
    </row>
    <row r="337" spans="2:14" ht="12.75">
      <c r="B337" s="140" t="s">
        <v>295</v>
      </c>
      <c r="C337" s="171">
        <f>6910+5</f>
        <v>6915</v>
      </c>
      <c r="D337" s="171">
        <v>7116</v>
      </c>
      <c r="E337" s="171">
        <v>7198</v>
      </c>
      <c r="F337" s="171">
        <v>7306</v>
      </c>
      <c r="G337" s="171">
        <v>7378</v>
      </c>
      <c r="H337" s="171">
        <v>7497</v>
      </c>
      <c r="I337" s="171">
        <v>7644</v>
      </c>
      <c r="J337" s="171">
        <v>7753</v>
      </c>
      <c r="K337" s="171">
        <v>7854</v>
      </c>
      <c r="L337" s="171">
        <v>7950</v>
      </c>
      <c r="M337" s="171">
        <v>8048</v>
      </c>
      <c r="N337" s="171">
        <v>8106</v>
      </c>
    </row>
    <row r="338" spans="2:14" ht="12.75">
      <c r="B338" s="140" t="s">
        <v>296</v>
      </c>
      <c r="C338" s="171">
        <f>11990+2+11</f>
        <v>12003</v>
      </c>
      <c r="D338" s="171">
        <v>12266</v>
      </c>
      <c r="E338" s="171">
        <v>12394</v>
      </c>
      <c r="F338" s="171">
        <v>12523</v>
      </c>
      <c r="G338" s="171">
        <v>12695</v>
      </c>
      <c r="H338" s="171">
        <v>12825</v>
      </c>
      <c r="I338" s="171">
        <v>12963</v>
      </c>
      <c r="J338" s="171">
        <v>13060</v>
      </c>
      <c r="K338" s="171">
        <v>13175</v>
      </c>
      <c r="L338" s="171">
        <v>13279</v>
      </c>
      <c r="M338" s="171">
        <v>13349</v>
      </c>
      <c r="N338" s="171">
        <v>13435</v>
      </c>
    </row>
    <row r="339" spans="2:14" ht="12.75">
      <c r="B339" s="140" t="s">
        <v>297</v>
      </c>
      <c r="C339" s="171">
        <f>3585+4</f>
        <v>3589</v>
      </c>
      <c r="D339" s="171">
        <v>3614</v>
      </c>
      <c r="E339" s="171">
        <v>3630</v>
      </c>
      <c r="F339" s="171">
        <v>3646</v>
      </c>
      <c r="G339" s="171">
        <v>3657</v>
      </c>
      <c r="H339" s="171">
        <v>3663</v>
      </c>
      <c r="I339" s="171">
        <v>3681</v>
      </c>
      <c r="J339" s="171">
        <v>3692</v>
      </c>
      <c r="K339" s="171">
        <v>3710</v>
      </c>
      <c r="L339" s="171">
        <v>3717</v>
      </c>
      <c r="M339" s="171">
        <v>3728</v>
      </c>
      <c r="N339" s="171">
        <v>3740</v>
      </c>
    </row>
    <row r="340" spans="2:14" ht="12.75">
      <c r="B340" s="140" t="s">
        <v>298</v>
      </c>
      <c r="C340" s="171">
        <f>15761+15</f>
        <v>15776</v>
      </c>
      <c r="D340" s="171">
        <v>16008</v>
      </c>
      <c r="E340" s="171">
        <v>16120</v>
      </c>
      <c r="F340" s="171">
        <v>16269</v>
      </c>
      <c r="G340" s="171">
        <v>16421</v>
      </c>
      <c r="H340" s="171">
        <v>16549</v>
      </c>
      <c r="I340" s="171">
        <v>16699</v>
      </c>
      <c r="J340" s="171">
        <v>16831</v>
      </c>
      <c r="K340" s="171">
        <v>16965</v>
      </c>
      <c r="L340" s="171">
        <v>17087</v>
      </c>
      <c r="M340" s="171">
        <v>17175</v>
      </c>
      <c r="N340" s="171">
        <v>17257</v>
      </c>
    </row>
    <row r="341" spans="2:14" ht="12.75">
      <c r="B341" s="140" t="s">
        <v>299</v>
      </c>
      <c r="C341" s="171">
        <f>6201+1</f>
        <v>6202</v>
      </c>
      <c r="D341" s="171">
        <v>6450</v>
      </c>
      <c r="E341" s="171">
        <v>6594</v>
      </c>
      <c r="F341" s="171">
        <v>6717</v>
      </c>
      <c r="G341" s="171">
        <v>6861</v>
      </c>
      <c r="H341" s="171">
        <v>6965</v>
      </c>
      <c r="I341" s="171">
        <v>7094</v>
      </c>
      <c r="J341" s="171">
        <v>7206</v>
      </c>
      <c r="K341" s="171">
        <v>7308</v>
      </c>
      <c r="L341" s="171">
        <v>7407</v>
      </c>
      <c r="M341" s="171">
        <v>7488</v>
      </c>
      <c r="N341" s="171">
        <v>7538</v>
      </c>
    </row>
    <row r="342" spans="2:14" ht="12.75">
      <c r="B342" s="140" t="s">
        <v>404</v>
      </c>
      <c r="C342" s="171">
        <v>645</v>
      </c>
      <c r="D342" s="171">
        <v>670</v>
      </c>
      <c r="E342" s="171">
        <v>677</v>
      </c>
      <c r="F342" s="171">
        <v>694</v>
      </c>
      <c r="G342" s="171">
        <v>720</v>
      </c>
      <c r="H342" s="171">
        <v>736</v>
      </c>
      <c r="I342" s="171">
        <v>747</v>
      </c>
      <c r="J342" s="171">
        <v>765</v>
      </c>
      <c r="K342" s="171">
        <v>781</v>
      </c>
      <c r="L342" s="171">
        <v>789</v>
      </c>
      <c r="M342" s="171">
        <v>803</v>
      </c>
      <c r="N342" s="171">
        <v>814</v>
      </c>
    </row>
    <row r="343" spans="2:14" ht="12.75">
      <c r="B343" s="140" t="s">
        <v>300</v>
      </c>
      <c r="C343" s="171">
        <f>14955+8+2</f>
        <v>14965</v>
      </c>
      <c r="D343" s="171">
        <v>15169</v>
      </c>
      <c r="E343" s="171">
        <v>15279</v>
      </c>
      <c r="F343" s="171">
        <v>15398</v>
      </c>
      <c r="G343" s="171">
        <v>15540</v>
      </c>
      <c r="H343" s="171">
        <v>15642</v>
      </c>
      <c r="I343" s="171">
        <v>15790</v>
      </c>
      <c r="J343" s="171">
        <v>15924</v>
      </c>
      <c r="K343" s="171">
        <v>16059</v>
      </c>
      <c r="L343" s="171">
        <v>16179</v>
      </c>
      <c r="M343" s="171">
        <v>16267</v>
      </c>
      <c r="N343" s="171">
        <v>16357</v>
      </c>
    </row>
    <row r="344" spans="2:14" ht="12.75">
      <c r="B344" s="140" t="s">
        <v>301</v>
      </c>
      <c r="C344" s="171">
        <f>4815+4+1</f>
        <v>4820</v>
      </c>
      <c r="D344" s="171">
        <v>4913</v>
      </c>
      <c r="E344" s="171">
        <v>4958</v>
      </c>
      <c r="F344" s="171">
        <v>5014</v>
      </c>
      <c r="G344" s="171">
        <v>5066</v>
      </c>
      <c r="H344" s="171">
        <v>5112</v>
      </c>
      <c r="I344" s="171">
        <v>5167</v>
      </c>
      <c r="J344" s="171">
        <v>5202</v>
      </c>
      <c r="K344" s="171">
        <v>5252</v>
      </c>
      <c r="L344" s="171">
        <v>5298</v>
      </c>
      <c r="M344" s="171">
        <v>5338</v>
      </c>
      <c r="N344" s="171">
        <v>5373</v>
      </c>
    </row>
    <row r="345" spans="2:14" ht="12.75">
      <c r="B345" s="140" t="s">
        <v>302</v>
      </c>
      <c r="C345" s="171">
        <f>7604+5</f>
        <v>7609</v>
      </c>
      <c r="D345" s="171">
        <v>7768</v>
      </c>
      <c r="E345" s="171">
        <v>7861</v>
      </c>
      <c r="F345" s="171">
        <v>7945</v>
      </c>
      <c r="G345" s="171">
        <v>8007</v>
      </c>
      <c r="H345" s="171">
        <v>8065</v>
      </c>
      <c r="I345" s="171">
        <v>8135</v>
      </c>
      <c r="J345" s="171">
        <v>8226</v>
      </c>
      <c r="K345" s="171">
        <v>8267</v>
      </c>
      <c r="L345" s="171">
        <v>8313</v>
      </c>
      <c r="M345" s="171">
        <v>8380</v>
      </c>
      <c r="N345" s="171">
        <v>8442</v>
      </c>
    </row>
    <row r="346" spans="2:14" ht="12.75">
      <c r="B346" s="140" t="s">
        <v>303</v>
      </c>
      <c r="C346" s="171">
        <f>7061+3</f>
        <v>7064</v>
      </c>
      <c r="D346" s="171">
        <v>7236</v>
      </c>
      <c r="E346" s="171">
        <v>7317</v>
      </c>
      <c r="F346" s="171">
        <v>7393</v>
      </c>
      <c r="G346" s="171">
        <v>7534</v>
      </c>
      <c r="H346" s="171">
        <v>7607</v>
      </c>
      <c r="I346" s="171">
        <v>7706</v>
      </c>
      <c r="J346" s="171">
        <v>7805</v>
      </c>
      <c r="K346" s="171">
        <v>7864</v>
      </c>
      <c r="L346" s="171">
        <v>7939</v>
      </c>
      <c r="M346" s="171">
        <v>7973</v>
      </c>
      <c r="N346" s="171">
        <v>8020</v>
      </c>
    </row>
    <row r="347" spans="2:14" ht="12.75">
      <c r="B347" s="140" t="s">
        <v>405</v>
      </c>
      <c r="C347" s="171">
        <v>1164</v>
      </c>
      <c r="D347" s="171">
        <v>1257</v>
      </c>
      <c r="E347" s="171">
        <v>1294</v>
      </c>
      <c r="F347" s="171">
        <v>1337</v>
      </c>
      <c r="G347" s="171">
        <v>1418</v>
      </c>
      <c r="H347" s="171">
        <v>1465</v>
      </c>
      <c r="I347" s="171">
        <v>1522</v>
      </c>
      <c r="J347" s="171">
        <v>1555</v>
      </c>
      <c r="K347" s="171">
        <v>1583</v>
      </c>
      <c r="L347" s="171">
        <v>1607</v>
      </c>
      <c r="M347" s="171">
        <v>1629</v>
      </c>
      <c r="N347" s="171">
        <v>1654</v>
      </c>
    </row>
    <row r="348" spans="2:14" ht="12.75">
      <c r="B348" s="140" t="s">
        <v>304</v>
      </c>
      <c r="C348" s="171">
        <f>5459+6</f>
        <v>5465</v>
      </c>
      <c r="D348" s="171">
        <v>5562</v>
      </c>
      <c r="E348" s="171">
        <v>5605</v>
      </c>
      <c r="F348" s="171">
        <v>5664</v>
      </c>
      <c r="G348" s="171">
        <v>5728</v>
      </c>
      <c r="H348" s="171">
        <v>5790</v>
      </c>
      <c r="I348" s="171">
        <v>5850</v>
      </c>
      <c r="J348" s="171">
        <v>5909</v>
      </c>
      <c r="K348" s="171">
        <v>5966</v>
      </c>
      <c r="L348" s="171">
        <v>6004</v>
      </c>
      <c r="M348" s="171">
        <v>6047</v>
      </c>
      <c r="N348" s="171">
        <v>6064</v>
      </c>
    </row>
    <row r="349" spans="2:14" ht="12.75">
      <c r="B349" s="140" t="s">
        <v>305</v>
      </c>
      <c r="C349" s="171">
        <f>7890+1+5</f>
        <v>7896</v>
      </c>
      <c r="D349" s="171">
        <v>8082</v>
      </c>
      <c r="E349" s="171">
        <v>8203</v>
      </c>
      <c r="F349" s="171">
        <v>8326</v>
      </c>
      <c r="G349" s="171">
        <v>8479</v>
      </c>
      <c r="H349" s="171">
        <v>8650</v>
      </c>
      <c r="I349" s="171">
        <v>8847</v>
      </c>
      <c r="J349" s="171">
        <v>8984</v>
      </c>
      <c r="K349" s="171">
        <v>9101</v>
      </c>
      <c r="L349" s="171">
        <v>9199</v>
      </c>
      <c r="M349" s="171">
        <v>9279</v>
      </c>
      <c r="N349" s="171">
        <v>9353</v>
      </c>
    </row>
    <row r="350" spans="2:14" ht="12.75">
      <c r="B350" s="140" t="s">
        <v>306</v>
      </c>
      <c r="C350" s="171">
        <f>7140+1+3</f>
        <v>7144</v>
      </c>
      <c r="D350" s="171">
        <v>7268</v>
      </c>
      <c r="E350" s="171">
        <v>7352</v>
      </c>
      <c r="F350" s="171">
        <v>7443</v>
      </c>
      <c r="G350" s="171">
        <v>7552</v>
      </c>
      <c r="H350" s="171">
        <v>7665</v>
      </c>
      <c r="I350" s="171">
        <v>7847</v>
      </c>
      <c r="J350" s="171">
        <v>7969</v>
      </c>
      <c r="K350" s="171">
        <v>8092</v>
      </c>
      <c r="L350" s="171">
        <v>8209</v>
      </c>
      <c r="M350" s="171">
        <v>8323</v>
      </c>
      <c r="N350" s="171">
        <v>8381</v>
      </c>
    </row>
    <row r="351" spans="2:14" ht="12.75">
      <c r="B351" s="140" t="s">
        <v>307</v>
      </c>
      <c r="C351" s="171">
        <f>4184+1</f>
        <v>4185</v>
      </c>
      <c r="D351" s="171">
        <v>4271</v>
      </c>
      <c r="E351" s="171">
        <v>4332</v>
      </c>
      <c r="F351" s="171">
        <v>4379</v>
      </c>
      <c r="G351" s="171">
        <v>4439</v>
      </c>
      <c r="H351" s="171">
        <v>4504</v>
      </c>
      <c r="I351" s="171">
        <v>4604</v>
      </c>
      <c r="J351" s="171">
        <v>4656</v>
      </c>
      <c r="K351" s="171">
        <v>4701</v>
      </c>
      <c r="L351" s="171">
        <v>4729</v>
      </c>
      <c r="M351" s="171">
        <v>4761</v>
      </c>
      <c r="N351" s="171">
        <v>4788</v>
      </c>
    </row>
    <row r="352" spans="2:14" ht="12.75">
      <c r="B352" s="140" t="s">
        <v>308</v>
      </c>
      <c r="C352" s="171">
        <f>9499+1+11</f>
        <v>9511</v>
      </c>
      <c r="D352" s="171">
        <v>9811</v>
      </c>
      <c r="E352" s="171">
        <v>9942</v>
      </c>
      <c r="F352" s="171">
        <v>10073</v>
      </c>
      <c r="G352" s="171">
        <v>10245</v>
      </c>
      <c r="H352" s="171">
        <v>10410</v>
      </c>
      <c r="I352" s="171">
        <v>10605</v>
      </c>
      <c r="J352" s="171">
        <v>10760</v>
      </c>
      <c r="K352" s="171">
        <v>10895</v>
      </c>
      <c r="L352" s="171">
        <v>11013</v>
      </c>
      <c r="M352" s="171">
        <v>11129</v>
      </c>
      <c r="N352" s="171">
        <v>11250</v>
      </c>
    </row>
    <row r="353" spans="2:14" ht="12.75">
      <c r="B353" s="140" t="s">
        <v>309</v>
      </c>
      <c r="C353" s="171">
        <f>5335+5</f>
        <v>5340</v>
      </c>
      <c r="D353" s="171">
        <v>5458</v>
      </c>
      <c r="E353" s="171">
        <v>5534</v>
      </c>
      <c r="F353" s="171">
        <v>5653</v>
      </c>
      <c r="G353" s="171">
        <v>5717</v>
      </c>
      <c r="H353" s="171">
        <v>5809</v>
      </c>
      <c r="I353" s="171">
        <v>5942</v>
      </c>
      <c r="J353" s="171">
        <v>6033</v>
      </c>
      <c r="K353" s="171">
        <v>6115</v>
      </c>
      <c r="L353" s="171">
        <v>6188</v>
      </c>
      <c r="M353" s="171">
        <v>6276</v>
      </c>
      <c r="N353" s="171">
        <v>6321</v>
      </c>
    </row>
    <row r="354" spans="2:14" ht="12.75">
      <c r="B354" s="140" t="s">
        <v>310</v>
      </c>
      <c r="C354" s="171">
        <f>7613+5</f>
        <v>7618</v>
      </c>
      <c r="D354" s="171">
        <v>7710</v>
      </c>
      <c r="E354" s="171">
        <v>7734</v>
      </c>
      <c r="F354" s="171">
        <v>7787</v>
      </c>
      <c r="G354" s="171">
        <v>7831</v>
      </c>
      <c r="H354" s="171">
        <v>7843</v>
      </c>
      <c r="I354" s="171">
        <v>7861</v>
      </c>
      <c r="J354" s="171">
        <v>7890</v>
      </c>
      <c r="K354" s="171">
        <v>7910</v>
      </c>
      <c r="L354" s="171">
        <v>7926</v>
      </c>
      <c r="M354" s="171">
        <v>7926</v>
      </c>
      <c r="N354" s="171">
        <v>7940</v>
      </c>
    </row>
    <row r="355" spans="2:14" ht="12.75">
      <c r="B355" s="140" t="s">
        <v>311</v>
      </c>
      <c r="C355" s="171">
        <f>9300+11</f>
        <v>9311</v>
      </c>
      <c r="D355" s="171">
        <v>9536</v>
      </c>
      <c r="E355" s="171">
        <v>9629</v>
      </c>
      <c r="F355" s="171">
        <v>9709</v>
      </c>
      <c r="G355" s="171">
        <v>9797</v>
      </c>
      <c r="H355" s="171">
        <v>9954</v>
      </c>
      <c r="I355" s="171">
        <v>10146</v>
      </c>
      <c r="J355" s="171">
        <v>10271</v>
      </c>
      <c r="K355" s="171">
        <v>10418</v>
      </c>
      <c r="L355" s="171">
        <v>10555</v>
      </c>
      <c r="M355" s="171">
        <v>10682</v>
      </c>
      <c r="N355" s="171">
        <v>10809</v>
      </c>
    </row>
    <row r="356" spans="2:14" ht="12.75">
      <c r="B356" s="140" t="s">
        <v>445</v>
      </c>
      <c r="C356" s="171">
        <v>347</v>
      </c>
      <c r="D356" s="171">
        <v>495</v>
      </c>
      <c r="E356" s="171">
        <v>575</v>
      </c>
      <c r="F356" s="171">
        <v>669</v>
      </c>
      <c r="G356" s="171">
        <v>796</v>
      </c>
      <c r="H356" s="171">
        <v>898</v>
      </c>
      <c r="I356" s="171">
        <v>1019</v>
      </c>
      <c r="J356" s="171">
        <v>1123</v>
      </c>
      <c r="K356" s="171">
        <v>1211</v>
      </c>
      <c r="L356" s="171">
        <v>1300</v>
      </c>
      <c r="M356" s="171">
        <v>1377</v>
      </c>
      <c r="N356" s="171">
        <v>1446</v>
      </c>
    </row>
    <row r="357" spans="2:14" ht="12.75">
      <c r="B357" s="140" t="s">
        <v>312</v>
      </c>
      <c r="C357" s="171">
        <f>1430+1</f>
        <v>1431</v>
      </c>
      <c r="D357" s="171">
        <v>1411</v>
      </c>
      <c r="E357" s="171">
        <v>1403</v>
      </c>
      <c r="F357" s="171">
        <v>1393</v>
      </c>
      <c r="G357" s="171">
        <v>1382</v>
      </c>
      <c r="H357" s="171">
        <v>1369</v>
      </c>
      <c r="I357" s="171">
        <v>1358</v>
      </c>
      <c r="J357" s="171">
        <v>1349</v>
      </c>
      <c r="K357" s="171">
        <v>1337</v>
      </c>
      <c r="L357" s="171">
        <v>1328</v>
      </c>
      <c r="M357" s="171">
        <v>1326</v>
      </c>
      <c r="N357" s="171">
        <v>1318</v>
      </c>
    </row>
    <row r="358" spans="2:14" ht="12.75">
      <c r="B358" s="140" t="s">
        <v>313</v>
      </c>
      <c r="C358" s="171">
        <f>7244+1+10</f>
        <v>7255</v>
      </c>
      <c r="D358" s="171">
        <v>7446</v>
      </c>
      <c r="E358" s="171">
        <v>7515</v>
      </c>
      <c r="F358" s="171">
        <v>7597</v>
      </c>
      <c r="G358" s="171">
        <v>7696</v>
      </c>
      <c r="H358" s="171">
        <v>7781</v>
      </c>
      <c r="I358" s="171">
        <v>7883</v>
      </c>
      <c r="J358" s="171">
        <v>7965</v>
      </c>
      <c r="K358" s="171">
        <v>8035</v>
      </c>
      <c r="L358" s="171">
        <v>8102</v>
      </c>
      <c r="M358" s="171">
        <v>8171</v>
      </c>
      <c r="N358" s="171">
        <v>8237</v>
      </c>
    </row>
    <row r="359" spans="2:14" ht="12.75">
      <c r="B359" s="140" t="s">
        <v>314</v>
      </c>
      <c r="C359" s="171">
        <f>11634+9</f>
        <v>11643</v>
      </c>
      <c r="D359" s="171">
        <v>11867</v>
      </c>
      <c r="E359" s="171">
        <v>11980</v>
      </c>
      <c r="F359" s="171">
        <v>12061</v>
      </c>
      <c r="G359" s="171">
        <v>12209</v>
      </c>
      <c r="H359" s="171">
        <v>12336</v>
      </c>
      <c r="I359" s="171">
        <v>12459</v>
      </c>
      <c r="J359" s="171">
        <v>12559</v>
      </c>
      <c r="K359" s="171">
        <v>12640</v>
      </c>
      <c r="L359" s="171">
        <v>12698</v>
      </c>
      <c r="M359" s="171">
        <v>12761</v>
      </c>
      <c r="N359" s="171">
        <v>12817</v>
      </c>
    </row>
    <row r="360" spans="2:14" ht="12.75">
      <c r="B360" s="140" t="s">
        <v>315</v>
      </c>
      <c r="C360" s="173">
        <f>3593+3</f>
        <v>3596</v>
      </c>
      <c r="D360" s="173">
        <v>3680</v>
      </c>
      <c r="E360" s="173">
        <v>3719</v>
      </c>
      <c r="F360" s="173">
        <v>3753</v>
      </c>
      <c r="G360" s="173">
        <v>3817</v>
      </c>
      <c r="H360" s="173">
        <v>3873</v>
      </c>
      <c r="I360" s="173">
        <v>3944</v>
      </c>
      <c r="J360" s="173">
        <v>3995</v>
      </c>
      <c r="K360" s="171">
        <v>4030</v>
      </c>
      <c r="L360" s="171">
        <v>4064</v>
      </c>
      <c r="M360" s="171">
        <v>4112</v>
      </c>
      <c r="N360" s="171">
        <v>4141</v>
      </c>
    </row>
    <row r="361" spans="2:14" ht="12.75">
      <c r="B361" s="140" t="s">
        <v>316</v>
      </c>
      <c r="C361" s="173">
        <f>1865+1</f>
        <v>1866</v>
      </c>
      <c r="D361" s="173">
        <v>1887</v>
      </c>
      <c r="E361" s="173">
        <v>1909</v>
      </c>
      <c r="F361" s="173">
        <v>1925</v>
      </c>
      <c r="G361" s="173">
        <v>1948</v>
      </c>
      <c r="H361" s="173">
        <v>1966</v>
      </c>
      <c r="I361" s="173">
        <v>1999</v>
      </c>
      <c r="J361" s="173">
        <v>2009</v>
      </c>
      <c r="K361" s="171">
        <v>2033</v>
      </c>
      <c r="L361" s="171">
        <v>2043</v>
      </c>
      <c r="M361" s="171">
        <v>2062</v>
      </c>
      <c r="N361" s="171">
        <v>2062</v>
      </c>
    </row>
    <row r="362" spans="2:14" ht="12.75">
      <c r="B362" s="142" t="s">
        <v>317</v>
      </c>
      <c r="C362" s="173">
        <v>1922</v>
      </c>
      <c r="D362" s="173">
        <v>1964</v>
      </c>
      <c r="E362" s="173">
        <v>2002</v>
      </c>
      <c r="F362" s="173">
        <v>2046</v>
      </c>
      <c r="G362" s="173">
        <v>2074</v>
      </c>
      <c r="H362" s="173">
        <v>2106</v>
      </c>
      <c r="I362" s="173">
        <v>2157</v>
      </c>
      <c r="J362" s="173">
        <v>2186</v>
      </c>
      <c r="K362" s="171">
        <v>2211</v>
      </c>
      <c r="L362" s="171">
        <v>2242</v>
      </c>
      <c r="M362" s="171">
        <v>2266</v>
      </c>
      <c r="N362" s="171">
        <v>2281</v>
      </c>
    </row>
    <row r="363" spans="2:14" ht="12.75">
      <c r="B363" s="142" t="s">
        <v>318</v>
      </c>
      <c r="C363" s="173">
        <f>12002+8+29</f>
        <v>12039</v>
      </c>
      <c r="D363" s="173">
        <v>12622</v>
      </c>
      <c r="E363" s="173">
        <v>12893</v>
      </c>
      <c r="F363" s="173">
        <v>13210</v>
      </c>
      <c r="G363" s="173">
        <v>13553</v>
      </c>
      <c r="H363" s="173">
        <v>13907</v>
      </c>
      <c r="I363" s="173">
        <v>14318</v>
      </c>
      <c r="J363" s="173">
        <v>14641</v>
      </c>
      <c r="K363" s="171">
        <v>14901</v>
      </c>
      <c r="L363" s="171">
        <v>15166</v>
      </c>
      <c r="M363" s="171">
        <v>15410</v>
      </c>
      <c r="N363" s="171">
        <v>15600</v>
      </c>
    </row>
    <row r="364" spans="2:14" ht="13.5" thickBot="1">
      <c r="B364" s="145" t="s">
        <v>319</v>
      </c>
      <c r="C364" s="173">
        <f>8848+5</f>
        <v>8853</v>
      </c>
      <c r="D364" s="173">
        <v>9186</v>
      </c>
      <c r="E364" s="173">
        <v>9455</v>
      </c>
      <c r="F364" s="173">
        <v>9694</v>
      </c>
      <c r="G364" s="173">
        <v>9958</v>
      </c>
      <c r="H364" s="173">
        <v>10182</v>
      </c>
      <c r="I364" s="173">
        <v>10433</v>
      </c>
      <c r="J364" s="173">
        <v>10696</v>
      </c>
      <c r="K364" s="171">
        <v>10921</v>
      </c>
      <c r="L364" s="171">
        <v>11185</v>
      </c>
      <c r="M364" s="171">
        <v>11410</v>
      </c>
      <c r="N364" s="171">
        <v>11552</v>
      </c>
    </row>
    <row r="365" spans="2:14" ht="13.5" thickBot="1">
      <c r="B365" s="147" t="s">
        <v>0</v>
      </c>
      <c r="C365" s="172">
        <f aca="true" t="shared" si="13" ref="C365:M365">SUM(C331:C364)</f>
        <v>229242</v>
      </c>
      <c r="D365" s="172">
        <f t="shared" si="13"/>
        <v>234513</v>
      </c>
      <c r="E365" s="172">
        <f t="shared" si="13"/>
        <v>237294</v>
      </c>
      <c r="F365" s="172">
        <f t="shared" si="13"/>
        <v>240227</v>
      </c>
      <c r="G365" s="172">
        <f t="shared" si="13"/>
        <v>243593</v>
      </c>
      <c r="H365" s="172">
        <f t="shared" si="13"/>
        <v>246743</v>
      </c>
      <c r="I365" s="172">
        <f t="shared" si="13"/>
        <v>250573</v>
      </c>
      <c r="J365" s="172">
        <f>SUM(J331:J364)</f>
        <v>253607</v>
      </c>
      <c r="K365" s="172">
        <f t="shared" si="13"/>
        <v>256325</v>
      </c>
      <c r="L365" s="172">
        <f>SUM(L331:L364)</f>
        <v>258861</v>
      </c>
      <c r="M365" s="172">
        <f t="shared" si="13"/>
        <v>261230</v>
      </c>
      <c r="N365" s="172">
        <f>SUM(N331:N364)</f>
        <v>263146</v>
      </c>
    </row>
    <row r="367" spans="5:11" ht="12.75">
      <c r="E367" s="148"/>
      <c r="F367" s="148"/>
      <c r="G367" s="148"/>
      <c r="H367" s="148"/>
      <c r="I367" s="148"/>
      <c r="J367" s="148"/>
      <c r="K367" s="148"/>
    </row>
    <row r="369" spans="2:14" ht="12.75">
      <c r="B369" s="137" t="s">
        <v>22</v>
      </c>
      <c r="C369" s="137"/>
      <c r="D369" s="137"/>
      <c r="E369" s="137"/>
      <c r="F369" s="137"/>
      <c r="G369" s="163"/>
      <c r="H369" s="137"/>
      <c r="I369" s="137"/>
      <c r="J369" s="137"/>
      <c r="K369" s="163"/>
      <c r="L369" s="137"/>
      <c r="M369" s="121"/>
      <c r="N369" s="121"/>
    </row>
    <row r="370" spans="2:17" ht="12.75"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20"/>
      <c r="P370" s="120"/>
      <c r="Q370" s="120"/>
    </row>
    <row r="371" spans="2:14" ht="12.75">
      <c r="B371" s="137" t="s">
        <v>106</v>
      </c>
      <c r="C371" s="137"/>
      <c r="D371" s="137"/>
      <c r="E371" s="137"/>
      <c r="F371" s="137"/>
      <c r="G371" s="163"/>
      <c r="H371" s="137"/>
      <c r="I371" s="137"/>
      <c r="J371" s="137"/>
      <c r="K371" s="163"/>
      <c r="L371" s="137"/>
      <c r="M371" s="121"/>
      <c r="N371" s="121"/>
    </row>
    <row r="373" ht="13.5" thickBot="1"/>
    <row r="374" spans="2:14" ht="21" customHeight="1" thickBot="1">
      <c r="B374" s="175" t="s">
        <v>533</v>
      </c>
      <c r="C374" s="13" t="s">
        <v>446</v>
      </c>
      <c r="D374" s="13" t="s">
        <v>448</v>
      </c>
      <c r="E374" s="13" t="s">
        <v>451</v>
      </c>
      <c r="F374" s="13" t="s">
        <v>465</v>
      </c>
      <c r="G374" s="13" t="s">
        <v>480</v>
      </c>
      <c r="H374" s="13" t="s">
        <v>478</v>
      </c>
      <c r="I374" s="13" t="s">
        <v>482</v>
      </c>
      <c r="J374" s="13" t="s">
        <v>484</v>
      </c>
      <c r="K374" s="13" t="s">
        <v>487</v>
      </c>
      <c r="L374" s="13" t="s">
        <v>488</v>
      </c>
      <c r="M374" s="13" t="s">
        <v>529</v>
      </c>
      <c r="N374" s="13" t="s">
        <v>532</v>
      </c>
    </row>
    <row r="375" spans="2:14" ht="12.75">
      <c r="B375" s="138" t="s">
        <v>320</v>
      </c>
      <c r="C375" s="283">
        <f>3654+1</f>
        <v>3655</v>
      </c>
      <c r="D375" s="283">
        <v>3740</v>
      </c>
      <c r="E375" s="283">
        <v>3781</v>
      </c>
      <c r="F375" s="283">
        <v>3834</v>
      </c>
      <c r="G375" s="283">
        <v>3867</v>
      </c>
      <c r="H375" s="283">
        <v>3909</v>
      </c>
      <c r="I375" s="283">
        <v>3963</v>
      </c>
      <c r="J375" s="283">
        <v>3996</v>
      </c>
      <c r="K375" s="283">
        <v>4018</v>
      </c>
      <c r="L375" s="283">
        <v>4048</v>
      </c>
      <c r="M375" s="283">
        <v>4079</v>
      </c>
      <c r="N375" s="283">
        <v>4115</v>
      </c>
    </row>
    <row r="376" spans="2:14" ht="12.75">
      <c r="B376" s="140" t="s">
        <v>321</v>
      </c>
      <c r="C376" s="171">
        <f>2076+5</f>
        <v>2081</v>
      </c>
      <c r="D376" s="171">
        <v>2126</v>
      </c>
      <c r="E376" s="171">
        <v>2148</v>
      </c>
      <c r="F376" s="171">
        <v>2167</v>
      </c>
      <c r="G376" s="171">
        <v>2205</v>
      </c>
      <c r="H376" s="171">
        <v>2234</v>
      </c>
      <c r="I376" s="171">
        <v>2263</v>
      </c>
      <c r="J376" s="171">
        <v>2280</v>
      </c>
      <c r="K376" s="171">
        <v>2296</v>
      </c>
      <c r="L376" s="171">
        <v>2319</v>
      </c>
      <c r="M376" s="171">
        <v>2345</v>
      </c>
      <c r="N376" s="171">
        <v>2362</v>
      </c>
    </row>
    <row r="377" spans="2:14" ht="12.75">
      <c r="B377" s="140" t="s">
        <v>322</v>
      </c>
      <c r="C377" s="171">
        <f>2194+2</f>
        <v>2196</v>
      </c>
      <c r="D377" s="171">
        <v>2219</v>
      </c>
      <c r="E377" s="171">
        <v>2234</v>
      </c>
      <c r="F377" s="171">
        <v>2291</v>
      </c>
      <c r="G377" s="171">
        <v>2334</v>
      </c>
      <c r="H377" s="171">
        <v>2362</v>
      </c>
      <c r="I377" s="171">
        <v>2403</v>
      </c>
      <c r="J377" s="171">
        <v>2423</v>
      </c>
      <c r="K377" s="171">
        <v>2432</v>
      </c>
      <c r="L377" s="171">
        <v>2448</v>
      </c>
      <c r="M377" s="171">
        <v>2461</v>
      </c>
      <c r="N377" s="171">
        <v>2474</v>
      </c>
    </row>
    <row r="378" spans="2:14" ht="12.75">
      <c r="B378" s="140" t="s">
        <v>323</v>
      </c>
      <c r="C378" s="171">
        <f>2080+1</f>
        <v>2081</v>
      </c>
      <c r="D378" s="171">
        <v>2114</v>
      </c>
      <c r="E378" s="171">
        <v>2132</v>
      </c>
      <c r="F378" s="171">
        <v>2143</v>
      </c>
      <c r="G378" s="171">
        <v>2159</v>
      </c>
      <c r="H378" s="171">
        <v>2184</v>
      </c>
      <c r="I378" s="171">
        <v>2212</v>
      </c>
      <c r="J378" s="171">
        <v>2231</v>
      </c>
      <c r="K378" s="171">
        <v>2241</v>
      </c>
      <c r="L378" s="171">
        <v>2255</v>
      </c>
      <c r="M378" s="171">
        <v>2266</v>
      </c>
      <c r="N378" s="171">
        <v>2270</v>
      </c>
    </row>
    <row r="379" spans="2:14" ht="12.75">
      <c r="B379" s="140" t="s">
        <v>324</v>
      </c>
      <c r="C379" s="171">
        <f>2252+1</f>
        <v>2253</v>
      </c>
      <c r="D379" s="171">
        <v>2290</v>
      </c>
      <c r="E379" s="171">
        <v>2315</v>
      </c>
      <c r="F379" s="171">
        <v>2341</v>
      </c>
      <c r="G379" s="171">
        <v>2387</v>
      </c>
      <c r="H379" s="171">
        <v>2435</v>
      </c>
      <c r="I379" s="171">
        <v>2497</v>
      </c>
      <c r="J379" s="171">
        <v>2545</v>
      </c>
      <c r="K379" s="171">
        <v>2564</v>
      </c>
      <c r="L379" s="171">
        <v>2587</v>
      </c>
      <c r="M379" s="171">
        <v>2615</v>
      </c>
      <c r="N379" s="171">
        <v>2622</v>
      </c>
    </row>
    <row r="380" spans="2:14" ht="12.75">
      <c r="B380" s="140" t="s">
        <v>325</v>
      </c>
      <c r="C380" s="171">
        <f>1375+1</f>
        <v>1376</v>
      </c>
      <c r="D380" s="171">
        <v>1397</v>
      </c>
      <c r="E380" s="171">
        <v>1416</v>
      </c>
      <c r="F380" s="171">
        <v>1456</v>
      </c>
      <c r="G380" s="171">
        <v>1489</v>
      </c>
      <c r="H380" s="171">
        <v>1503</v>
      </c>
      <c r="I380" s="171">
        <v>1514</v>
      </c>
      <c r="J380" s="171">
        <v>1525</v>
      </c>
      <c r="K380" s="171">
        <v>1538</v>
      </c>
      <c r="L380" s="171">
        <v>1547</v>
      </c>
      <c r="M380" s="171">
        <v>1558</v>
      </c>
      <c r="N380" s="171">
        <v>1571</v>
      </c>
    </row>
    <row r="381" spans="2:14" ht="12.75">
      <c r="B381" s="140" t="s">
        <v>326</v>
      </c>
      <c r="C381" s="173">
        <f>20900+1+18</f>
        <v>20919</v>
      </c>
      <c r="D381" s="173">
        <v>21445</v>
      </c>
      <c r="E381" s="173">
        <v>21634</v>
      </c>
      <c r="F381" s="173">
        <v>21865</v>
      </c>
      <c r="G381" s="173">
        <v>22124</v>
      </c>
      <c r="H381" s="173">
        <v>22468</v>
      </c>
      <c r="I381" s="173">
        <v>22882</v>
      </c>
      <c r="J381" s="173">
        <v>23097</v>
      </c>
      <c r="K381" s="171">
        <v>23305</v>
      </c>
      <c r="L381" s="171">
        <v>23508</v>
      </c>
      <c r="M381" s="171">
        <v>23716</v>
      </c>
      <c r="N381" s="171">
        <v>23903</v>
      </c>
    </row>
    <row r="382" spans="2:14" ht="12.75">
      <c r="B382" s="140" t="s">
        <v>327</v>
      </c>
      <c r="C382" s="171">
        <v>1245</v>
      </c>
      <c r="D382" s="171">
        <v>1266</v>
      </c>
      <c r="E382" s="171">
        <v>1276</v>
      </c>
      <c r="F382" s="171">
        <v>1290</v>
      </c>
      <c r="G382" s="171">
        <v>1304</v>
      </c>
      <c r="H382" s="171">
        <v>1311</v>
      </c>
      <c r="I382" s="171">
        <v>1327</v>
      </c>
      <c r="J382" s="171">
        <v>1334</v>
      </c>
      <c r="K382" s="171">
        <v>1345</v>
      </c>
      <c r="L382" s="171">
        <v>1354</v>
      </c>
      <c r="M382" s="171">
        <v>1358</v>
      </c>
      <c r="N382" s="171">
        <v>1372</v>
      </c>
    </row>
    <row r="383" spans="2:14" ht="12.75">
      <c r="B383" s="140" t="s">
        <v>328</v>
      </c>
      <c r="C383" s="171">
        <f>4909+3</f>
        <v>4912</v>
      </c>
      <c r="D383" s="171">
        <v>4997</v>
      </c>
      <c r="E383" s="171">
        <v>5044</v>
      </c>
      <c r="F383" s="171">
        <v>5094</v>
      </c>
      <c r="G383" s="171">
        <v>5143</v>
      </c>
      <c r="H383" s="171">
        <v>5195</v>
      </c>
      <c r="I383" s="171">
        <v>5304</v>
      </c>
      <c r="J383" s="171">
        <v>5360</v>
      </c>
      <c r="K383" s="171">
        <v>5400</v>
      </c>
      <c r="L383" s="171">
        <v>5430</v>
      </c>
      <c r="M383" s="171">
        <v>5468</v>
      </c>
      <c r="N383" s="171">
        <v>5495</v>
      </c>
    </row>
    <row r="384" spans="2:14" ht="12.75">
      <c r="B384" s="140" t="s">
        <v>329</v>
      </c>
      <c r="C384" s="171">
        <f>3767+1</f>
        <v>3768</v>
      </c>
      <c r="D384" s="171">
        <v>3857</v>
      </c>
      <c r="E384" s="171">
        <v>3893</v>
      </c>
      <c r="F384" s="171">
        <v>3929</v>
      </c>
      <c r="G384" s="171">
        <v>3969</v>
      </c>
      <c r="H384" s="171">
        <v>4015</v>
      </c>
      <c r="I384" s="171">
        <v>4096</v>
      </c>
      <c r="J384" s="171">
        <v>4136</v>
      </c>
      <c r="K384" s="171">
        <v>4183</v>
      </c>
      <c r="L384" s="171">
        <v>4230</v>
      </c>
      <c r="M384" s="171">
        <v>4279</v>
      </c>
      <c r="N384" s="171">
        <v>4300</v>
      </c>
    </row>
    <row r="385" spans="2:14" ht="12.75">
      <c r="B385" s="140" t="s">
        <v>330</v>
      </c>
      <c r="C385" s="171">
        <f>3270+1</f>
        <v>3271</v>
      </c>
      <c r="D385" s="171">
        <v>3309</v>
      </c>
      <c r="E385" s="171">
        <v>3342</v>
      </c>
      <c r="F385" s="171">
        <v>3375</v>
      </c>
      <c r="G385" s="171">
        <v>3424</v>
      </c>
      <c r="H385" s="171">
        <v>3470</v>
      </c>
      <c r="I385" s="171">
        <v>3546</v>
      </c>
      <c r="J385" s="171">
        <v>3592</v>
      </c>
      <c r="K385" s="171">
        <v>3621</v>
      </c>
      <c r="L385" s="171">
        <v>3657</v>
      </c>
      <c r="M385" s="171">
        <v>3677</v>
      </c>
      <c r="N385" s="171">
        <v>3709</v>
      </c>
    </row>
    <row r="386" spans="2:14" ht="12.75">
      <c r="B386" s="140" t="s">
        <v>331</v>
      </c>
      <c r="C386" s="171">
        <f>8485+7</f>
        <v>8492</v>
      </c>
      <c r="D386" s="171">
        <v>8613</v>
      </c>
      <c r="E386" s="171">
        <v>8719</v>
      </c>
      <c r="F386" s="171">
        <v>8837</v>
      </c>
      <c r="G386" s="171">
        <v>8964</v>
      </c>
      <c r="H386" s="171">
        <v>9100</v>
      </c>
      <c r="I386" s="171">
        <v>9305</v>
      </c>
      <c r="J386" s="171">
        <v>9429</v>
      </c>
      <c r="K386" s="171">
        <v>9497</v>
      </c>
      <c r="L386" s="171">
        <v>9600</v>
      </c>
      <c r="M386" s="171">
        <v>9687</v>
      </c>
      <c r="N386" s="171">
        <v>9742</v>
      </c>
    </row>
    <row r="387" spans="2:14" ht="13.5" thickBot="1">
      <c r="B387" s="145" t="s">
        <v>332</v>
      </c>
      <c r="C387" s="171">
        <f>1678+1</f>
        <v>1679</v>
      </c>
      <c r="D387" s="171">
        <v>1721</v>
      </c>
      <c r="E387" s="171">
        <v>1739</v>
      </c>
      <c r="F387" s="171">
        <v>1760</v>
      </c>
      <c r="G387" s="171">
        <v>1779</v>
      </c>
      <c r="H387" s="171">
        <v>1807</v>
      </c>
      <c r="I387" s="171">
        <v>1848</v>
      </c>
      <c r="J387" s="171">
        <v>1872</v>
      </c>
      <c r="K387" s="171">
        <v>1892</v>
      </c>
      <c r="L387" s="171">
        <v>1911</v>
      </c>
      <c r="M387" s="171">
        <v>1927</v>
      </c>
      <c r="N387" s="171">
        <v>1942</v>
      </c>
    </row>
    <row r="388" spans="2:14" ht="13.5" thickBot="1">
      <c r="B388" s="147" t="s">
        <v>0</v>
      </c>
      <c r="C388" s="170">
        <f aca="true" t="shared" si="14" ref="C388:M388">SUM(C375:C387)</f>
        <v>57928</v>
      </c>
      <c r="D388" s="170">
        <f t="shared" si="14"/>
        <v>59094</v>
      </c>
      <c r="E388" s="170">
        <f t="shared" si="14"/>
        <v>59673</v>
      </c>
      <c r="F388" s="170">
        <f t="shared" si="14"/>
        <v>60382</v>
      </c>
      <c r="G388" s="172">
        <f t="shared" si="14"/>
        <v>61148</v>
      </c>
      <c r="H388" s="170">
        <f t="shared" si="14"/>
        <v>61993</v>
      </c>
      <c r="I388" s="170">
        <f t="shared" si="14"/>
        <v>63160</v>
      </c>
      <c r="J388" s="170">
        <f>SUM(J375:J387)</f>
        <v>63820</v>
      </c>
      <c r="K388" s="170">
        <f t="shared" si="14"/>
        <v>64332</v>
      </c>
      <c r="L388" s="170">
        <f>SUM(L375:L387)</f>
        <v>64894</v>
      </c>
      <c r="M388" s="170">
        <f t="shared" si="14"/>
        <v>65436</v>
      </c>
      <c r="N388" s="170">
        <f>SUM(N375:N387)</f>
        <v>65877</v>
      </c>
    </row>
    <row r="390" spans="5:11" ht="12.75">
      <c r="E390" s="148"/>
      <c r="F390" s="148"/>
      <c r="G390" s="148"/>
      <c r="H390" s="148"/>
      <c r="I390" s="148"/>
      <c r="J390" s="148"/>
      <c r="K390" s="148"/>
    </row>
    <row r="392" spans="2:14" ht="12.75">
      <c r="B392" s="137" t="s">
        <v>23</v>
      </c>
      <c r="C392" s="137"/>
      <c r="D392" s="137"/>
      <c r="E392" s="137"/>
      <c r="F392" s="137"/>
      <c r="G392" s="163"/>
      <c r="H392" s="137"/>
      <c r="I392" s="137"/>
      <c r="J392" s="137"/>
      <c r="K392" s="163"/>
      <c r="L392" s="137"/>
      <c r="M392" s="121"/>
      <c r="N392" s="121"/>
    </row>
    <row r="393" spans="2:17" ht="12.75"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20"/>
      <c r="P393" s="120"/>
      <c r="Q393" s="120"/>
    </row>
    <row r="394" ht="12.75">
      <c r="B394" s="163" t="s">
        <v>106</v>
      </c>
    </row>
    <row r="396" ht="13.5" thickBot="1"/>
    <row r="397" spans="2:14" ht="21" customHeight="1" thickBot="1">
      <c r="B397" s="175" t="s">
        <v>533</v>
      </c>
      <c r="C397" s="13" t="s">
        <v>446</v>
      </c>
      <c r="D397" s="13" t="s">
        <v>448</v>
      </c>
      <c r="E397" s="13" t="s">
        <v>451</v>
      </c>
      <c r="F397" s="13" t="s">
        <v>465</v>
      </c>
      <c r="G397" s="13" t="s">
        <v>480</v>
      </c>
      <c r="H397" s="13" t="s">
        <v>478</v>
      </c>
      <c r="I397" s="13" t="s">
        <v>482</v>
      </c>
      <c r="J397" s="13" t="s">
        <v>484</v>
      </c>
      <c r="K397" s="13" t="s">
        <v>487</v>
      </c>
      <c r="L397" s="13" t="s">
        <v>488</v>
      </c>
      <c r="M397" s="13" t="s">
        <v>529</v>
      </c>
      <c r="N397" s="13" t="s">
        <v>532</v>
      </c>
    </row>
    <row r="398" spans="2:14" ht="12.75">
      <c r="B398" s="138" t="s">
        <v>333</v>
      </c>
      <c r="C398" s="283">
        <v>2465</v>
      </c>
      <c r="D398" s="283">
        <v>2519</v>
      </c>
      <c r="E398" s="283">
        <v>2527</v>
      </c>
      <c r="F398" s="171">
        <v>2548</v>
      </c>
      <c r="G398" s="171">
        <v>2562</v>
      </c>
      <c r="H398" s="171">
        <v>2615</v>
      </c>
      <c r="I398" s="171">
        <v>2663</v>
      </c>
      <c r="J398" s="171">
        <v>2704</v>
      </c>
      <c r="K398" s="171">
        <v>2744</v>
      </c>
      <c r="L398" s="171">
        <v>2802</v>
      </c>
      <c r="M398" s="171">
        <v>2839</v>
      </c>
      <c r="N398" s="171">
        <v>2868</v>
      </c>
    </row>
    <row r="399" spans="2:14" ht="12.75">
      <c r="B399" s="140" t="s">
        <v>334</v>
      </c>
      <c r="C399" s="171">
        <v>1635</v>
      </c>
      <c r="D399" s="171">
        <v>1689</v>
      </c>
      <c r="E399" s="171">
        <v>1705</v>
      </c>
      <c r="F399" s="171">
        <v>1732</v>
      </c>
      <c r="G399" s="171">
        <v>1758</v>
      </c>
      <c r="H399" s="171">
        <v>1794</v>
      </c>
      <c r="I399" s="171">
        <v>1820</v>
      </c>
      <c r="J399" s="171">
        <v>1840</v>
      </c>
      <c r="K399" s="171">
        <v>1855</v>
      </c>
      <c r="L399" s="171">
        <v>1884</v>
      </c>
      <c r="M399" s="171">
        <v>1915</v>
      </c>
      <c r="N399" s="171">
        <v>1927</v>
      </c>
    </row>
    <row r="400" spans="2:14" ht="12.75">
      <c r="B400" s="140" t="s">
        <v>335</v>
      </c>
      <c r="C400" s="171">
        <v>5743</v>
      </c>
      <c r="D400" s="171">
        <v>5827</v>
      </c>
      <c r="E400" s="171">
        <v>5883</v>
      </c>
      <c r="F400" s="171">
        <v>5935</v>
      </c>
      <c r="G400" s="171">
        <v>5989</v>
      </c>
      <c r="H400" s="171">
        <v>6052</v>
      </c>
      <c r="I400" s="171">
        <v>6133</v>
      </c>
      <c r="J400" s="171">
        <v>6207</v>
      </c>
      <c r="K400" s="171">
        <v>6310</v>
      </c>
      <c r="L400" s="171">
        <v>6455</v>
      </c>
      <c r="M400" s="171">
        <v>6513</v>
      </c>
      <c r="N400" s="171">
        <v>6558</v>
      </c>
    </row>
    <row r="401" spans="2:14" ht="12.75">
      <c r="B401" s="140" t="s">
        <v>336</v>
      </c>
      <c r="C401" s="171">
        <v>2197</v>
      </c>
      <c r="D401" s="171">
        <v>2237</v>
      </c>
      <c r="E401" s="171">
        <v>2252</v>
      </c>
      <c r="F401" s="171">
        <v>2277</v>
      </c>
      <c r="G401" s="171">
        <v>2313</v>
      </c>
      <c r="H401" s="171">
        <v>2357</v>
      </c>
      <c r="I401" s="171">
        <v>2397</v>
      </c>
      <c r="J401" s="171">
        <v>2432</v>
      </c>
      <c r="K401" s="171">
        <v>2477</v>
      </c>
      <c r="L401" s="171">
        <v>2525</v>
      </c>
      <c r="M401" s="171">
        <v>2552</v>
      </c>
      <c r="N401" s="171">
        <v>2576</v>
      </c>
    </row>
    <row r="402" spans="2:14" ht="12.75">
      <c r="B402" s="140" t="s">
        <v>337</v>
      </c>
      <c r="C402" s="171">
        <v>2416</v>
      </c>
      <c r="D402" s="171">
        <v>2452</v>
      </c>
      <c r="E402" s="171">
        <v>2475</v>
      </c>
      <c r="F402" s="171">
        <v>2501</v>
      </c>
      <c r="G402" s="171">
        <v>2526</v>
      </c>
      <c r="H402" s="171">
        <v>2577</v>
      </c>
      <c r="I402" s="171">
        <v>2622</v>
      </c>
      <c r="J402" s="171">
        <v>2662</v>
      </c>
      <c r="K402" s="171">
        <v>2690</v>
      </c>
      <c r="L402" s="171">
        <v>2725</v>
      </c>
      <c r="M402" s="171">
        <v>2761</v>
      </c>
      <c r="N402" s="171">
        <v>2780</v>
      </c>
    </row>
    <row r="403" spans="2:14" ht="12.75">
      <c r="B403" s="140" t="s">
        <v>338</v>
      </c>
      <c r="C403" s="171">
        <v>2085</v>
      </c>
      <c r="D403" s="171">
        <v>2120</v>
      </c>
      <c r="E403" s="171">
        <v>2138</v>
      </c>
      <c r="F403" s="171">
        <v>2151</v>
      </c>
      <c r="G403" s="171">
        <v>2181</v>
      </c>
      <c r="H403" s="171">
        <v>2213</v>
      </c>
      <c r="I403" s="171">
        <v>2240</v>
      </c>
      <c r="J403" s="171">
        <v>2273</v>
      </c>
      <c r="K403" s="171">
        <v>2306</v>
      </c>
      <c r="L403" s="171">
        <v>2338</v>
      </c>
      <c r="M403" s="171">
        <v>2379</v>
      </c>
      <c r="N403" s="171">
        <v>2395</v>
      </c>
    </row>
    <row r="404" spans="2:14" ht="12.75">
      <c r="B404" s="140" t="s">
        <v>339</v>
      </c>
      <c r="C404" s="171">
        <v>816</v>
      </c>
      <c r="D404" s="171">
        <v>837</v>
      </c>
      <c r="E404" s="171">
        <v>839</v>
      </c>
      <c r="F404" s="171">
        <v>845</v>
      </c>
      <c r="G404" s="171">
        <v>848</v>
      </c>
      <c r="H404" s="171">
        <v>851</v>
      </c>
      <c r="I404" s="171">
        <v>864</v>
      </c>
      <c r="J404" s="171">
        <v>876</v>
      </c>
      <c r="K404" s="171">
        <v>889</v>
      </c>
      <c r="L404" s="171">
        <v>903</v>
      </c>
      <c r="M404" s="171">
        <v>912</v>
      </c>
      <c r="N404" s="171">
        <v>918</v>
      </c>
    </row>
    <row r="405" spans="2:14" ht="12.75">
      <c r="B405" s="140" t="s">
        <v>340</v>
      </c>
      <c r="C405" s="173">
        <f>7982+3</f>
        <v>7985</v>
      </c>
      <c r="D405" s="173">
        <v>8262</v>
      </c>
      <c r="E405" s="173">
        <v>8324</v>
      </c>
      <c r="F405" s="173">
        <v>8386</v>
      </c>
      <c r="G405" s="173">
        <v>8460</v>
      </c>
      <c r="H405" s="173">
        <v>8657</v>
      </c>
      <c r="I405" s="173">
        <v>8795</v>
      </c>
      <c r="J405" s="173">
        <v>8896</v>
      </c>
      <c r="K405" s="171">
        <v>8980</v>
      </c>
      <c r="L405" s="171">
        <v>9124</v>
      </c>
      <c r="M405" s="171">
        <v>9233</v>
      </c>
      <c r="N405" s="171">
        <v>9275</v>
      </c>
    </row>
    <row r="406" spans="2:14" ht="12.75">
      <c r="B406" s="140" t="s">
        <v>341</v>
      </c>
      <c r="C406" s="171">
        <f>7344+4</f>
        <v>7348</v>
      </c>
      <c r="D406" s="171">
        <v>7511</v>
      </c>
      <c r="E406" s="171">
        <v>7590</v>
      </c>
      <c r="F406" s="171">
        <v>7679</v>
      </c>
      <c r="G406" s="171">
        <v>7777</v>
      </c>
      <c r="H406" s="171">
        <v>7892</v>
      </c>
      <c r="I406" s="171">
        <v>8021</v>
      </c>
      <c r="J406" s="171">
        <v>8127</v>
      </c>
      <c r="K406" s="171">
        <v>8228</v>
      </c>
      <c r="L406" s="171">
        <v>8388</v>
      </c>
      <c r="M406" s="171">
        <v>8487</v>
      </c>
      <c r="N406" s="171">
        <v>8557</v>
      </c>
    </row>
    <row r="407" spans="2:14" ht="12.75">
      <c r="B407" s="140" t="s">
        <v>342</v>
      </c>
      <c r="C407" s="171">
        <v>1005</v>
      </c>
      <c r="D407" s="171">
        <v>1030</v>
      </c>
      <c r="E407" s="171">
        <v>1039</v>
      </c>
      <c r="F407" s="171">
        <v>1052</v>
      </c>
      <c r="G407" s="171">
        <v>1062</v>
      </c>
      <c r="H407" s="171">
        <v>1082</v>
      </c>
      <c r="I407" s="171">
        <v>1092</v>
      </c>
      <c r="J407" s="171">
        <v>1103</v>
      </c>
      <c r="K407" s="171">
        <v>1113</v>
      </c>
      <c r="L407" s="171">
        <v>1126</v>
      </c>
      <c r="M407" s="171">
        <v>1139</v>
      </c>
      <c r="N407" s="171">
        <v>1148</v>
      </c>
    </row>
    <row r="408" spans="2:14" ht="12.75">
      <c r="B408" s="140" t="s">
        <v>406</v>
      </c>
      <c r="C408" s="171">
        <v>794</v>
      </c>
      <c r="D408" s="171">
        <v>820</v>
      </c>
      <c r="E408" s="171">
        <v>840</v>
      </c>
      <c r="F408" s="171">
        <v>860</v>
      </c>
      <c r="G408" s="171">
        <v>901</v>
      </c>
      <c r="H408" s="171">
        <v>930</v>
      </c>
      <c r="I408" s="171">
        <v>959</v>
      </c>
      <c r="J408" s="171">
        <v>989</v>
      </c>
      <c r="K408" s="171">
        <v>1020</v>
      </c>
      <c r="L408" s="171">
        <v>1051</v>
      </c>
      <c r="M408" s="171">
        <v>1078</v>
      </c>
      <c r="N408" s="171">
        <v>1092</v>
      </c>
    </row>
    <row r="409" spans="2:14" ht="12.75">
      <c r="B409" s="140" t="s">
        <v>343</v>
      </c>
      <c r="C409" s="171">
        <f>4158+1</f>
        <v>4159</v>
      </c>
      <c r="D409" s="171">
        <v>4214</v>
      </c>
      <c r="E409" s="171">
        <v>4237</v>
      </c>
      <c r="F409" s="171">
        <v>4265</v>
      </c>
      <c r="G409" s="171">
        <v>4286</v>
      </c>
      <c r="H409" s="171">
        <v>4328</v>
      </c>
      <c r="I409" s="171">
        <v>4355</v>
      </c>
      <c r="J409" s="171">
        <v>4374</v>
      </c>
      <c r="K409" s="171">
        <v>4401</v>
      </c>
      <c r="L409" s="171">
        <v>4451</v>
      </c>
      <c r="M409" s="171">
        <v>4484</v>
      </c>
      <c r="N409" s="171">
        <v>4501</v>
      </c>
    </row>
    <row r="410" spans="2:14" ht="12.75">
      <c r="B410" s="140" t="s">
        <v>344</v>
      </c>
      <c r="C410" s="171">
        <v>915</v>
      </c>
      <c r="D410" s="171">
        <v>934</v>
      </c>
      <c r="E410" s="171">
        <v>943</v>
      </c>
      <c r="F410" s="171">
        <v>956</v>
      </c>
      <c r="G410" s="171">
        <v>964</v>
      </c>
      <c r="H410" s="171">
        <v>985</v>
      </c>
      <c r="I410" s="171">
        <v>1000</v>
      </c>
      <c r="J410" s="171">
        <v>1002</v>
      </c>
      <c r="K410" s="171">
        <v>1021</v>
      </c>
      <c r="L410" s="171">
        <v>1045</v>
      </c>
      <c r="M410" s="171">
        <v>1052</v>
      </c>
      <c r="N410" s="171">
        <v>1053</v>
      </c>
    </row>
    <row r="411" spans="2:14" ht="12.75">
      <c r="B411" s="140" t="s">
        <v>345</v>
      </c>
      <c r="C411" s="171">
        <v>4330</v>
      </c>
      <c r="D411" s="171">
        <v>4408</v>
      </c>
      <c r="E411" s="171">
        <v>4444</v>
      </c>
      <c r="F411" s="171">
        <v>4489</v>
      </c>
      <c r="G411" s="171">
        <v>4540</v>
      </c>
      <c r="H411" s="171">
        <v>4633</v>
      </c>
      <c r="I411" s="171">
        <v>4714</v>
      </c>
      <c r="J411" s="171">
        <v>4773</v>
      </c>
      <c r="K411" s="171">
        <v>4843</v>
      </c>
      <c r="L411" s="171">
        <v>4969</v>
      </c>
      <c r="M411" s="171">
        <v>5029</v>
      </c>
      <c r="N411" s="171">
        <v>5073</v>
      </c>
    </row>
    <row r="412" spans="2:14" ht="12.75">
      <c r="B412" s="140" t="s">
        <v>346</v>
      </c>
      <c r="C412" s="171">
        <f>25562+5+16</f>
        <v>25583</v>
      </c>
      <c r="D412" s="171">
        <v>26366</v>
      </c>
      <c r="E412" s="171">
        <v>26685</v>
      </c>
      <c r="F412" s="171">
        <v>27024</v>
      </c>
      <c r="G412" s="171">
        <v>27407</v>
      </c>
      <c r="H412" s="171">
        <v>27884</v>
      </c>
      <c r="I412" s="171">
        <v>28357</v>
      </c>
      <c r="J412" s="171">
        <v>28870</v>
      </c>
      <c r="K412" s="171">
        <v>29256</v>
      </c>
      <c r="L412" s="171">
        <v>29723</v>
      </c>
      <c r="M412" s="171">
        <v>30179</v>
      </c>
      <c r="N412" s="171">
        <v>30577</v>
      </c>
    </row>
    <row r="413" spans="2:14" ht="12.75">
      <c r="B413" s="140" t="s">
        <v>347</v>
      </c>
      <c r="C413" s="171">
        <v>1428</v>
      </c>
      <c r="D413" s="171">
        <v>1446</v>
      </c>
      <c r="E413" s="171">
        <v>1454</v>
      </c>
      <c r="F413" s="171">
        <v>1463</v>
      </c>
      <c r="G413" s="171">
        <v>1476</v>
      </c>
      <c r="H413" s="171">
        <v>1496</v>
      </c>
      <c r="I413" s="171">
        <v>1505</v>
      </c>
      <c r="J413" s="171">
        <v>1518</v>
      </c>
      <c r="K413" s="171">
        <v>1532</v>
      </c>
      <c r="L413" s="171">
        <v>1564</v>
      </c>
      <c r="M413" s="171">
        <v>1583</v>
      </c>
      <c r="N413" s="171">
        <v>1593</v>
      </c>
    </row>
    <row r="414" spans="2:14" ht="12.75">
      <c r="B414" s="140" t="s">
        <v>348</v>
      </c>
      <c r="C414" s="171">
        <v>2688</v>
      </c>
      <c r="D414" s="171">
        <v>2750</v>
      </c>
      <c r="E414" s="171">
        <v>2774</v>
      </c>
      <c r="F414" s="171">
        <v>2797</v>
      </c>
      <c r="G414" s="171">
        <v>2829</v>
      </c>
      <c r="H414" s="171">
        <v>2877</v>
      </c>
      <c r="I414" s="171">
        <v>2917</v>
      </c>
      <c r="J414" s="171">
        <v>2954</v>
      </c>
      <c r="K414" s="171">
        <v>2989</v>
      </c>
      <c r="L414" s="171">
        <v>3011</v>
      </c>
      <c r="M414" s="171">
        <v>3037</v>
      </c>
      <c r="N414" s="171">
        <v>3055</v>
      </c>
    </row>
    <row r="415" spans="2:14" ht="12.75">
      <c r="B415" s="140" t="s">
        <v>349</v>
      </c>
      <c r="C415" s="171">
        <v>1560</v>
      </c>
      <c r="D415" s="171">
        <v>1599</v>
      </c>
      <c r="E415" s="171">
        <v>1624</v>
      </c>
      <c r="F415" s="171">
        <v>1639</v>
      </c>
      <c r="G415" s="171">
        <v>1660</v>
      </c>
      <c r="H415" s="171">
        <v>1683</v>
      </c>
      <c r="I415" s="171">
        <v>1703</v>
      </c>
      <c r="J415" s="171">
        <v>1721</v>
      </c>
      <c r="K415" s="171">
        <v>1740</v>
      </c>
      <c r="L415" s="171">
        <v>1761</v>
      </c>
      <c r="M415" s="171">
        <v>1779</v>
      </c>
      <c r="N415" s="171">
        <v>1798</v>
      </c>
    </row>
    <row r="416" spans="2:14" ht="12.75">
      <c r="B416" s="140" t="s">
        <v>350</v>
      </c>
      <c r="C416" s="171">
        <v>2538</v>
      </c>
      <c r="D416" s="171">
        <v>2580</v>
      </c>
      <c r="E416" s="171">
        <v>2604</v>
      </c>
      <c r="F416" s="171">
        <v>2631</v>
      </c>
      <c r="G416" s="171">
        <v>2657</v>
      </c>
      <c r="H416" s="171">
        <v>2702</v>
      </c>
      <c r="I416" s="171">
        <v>2753</v>
      </c>
      <c r="J416" s="171">
        <v>2776</v>
      </c>
      <c r="K416" s="171">
        <v>2794</v>
      </c>
      <c r="L416" s="171">
        <v>2822</v>
      </c>
      <c r="M416" s="171">
        <v>2846</v>
      </c>
      <c r="N416" s="171">
        <v>2865</v>
      </c>
    </row>
    <row r="417" spans="2:14" ht="12.75">
      <c r="B417" s="142" t="s">
        <v>351</v>
      </c>
      <c r="C417" s="171">
        <v>4455</v>
      </c>
      <c r="D417" s="171">
        <v>4534</v>
      </c>
      <c r="E417" s="171">
        <v>4585</v>
      </c>
      <c r="F417" s="171">
        <v>4666</v>
      </c>
      <c r="G417" s="171">
        <v>4717</v>
      </c>
      <c r="H417" s="171">
        <v>4818</v>
      </c>
      <c r="I417" s="171">
        <v>4920</v>
      </c>
      <c r="J417" s="171">
        <v>5015</v>
      </c>
      <c r="K417" s="171">
        <v>5077</v>
      </c>
      <c r="L417" s="171">
        <v>5177</v>
      </c>
      <c r="M417" s="171">
        <v>5238</v>
      </c>
      <c r="N417" s="171">
        <v>5297</v>
      </c>
    </row>
    <row r="418" spans="2:14" ht="13.5" thickBot="1">
      <c r="B418" s="145" t="s">
        <v>352</v>
      </c>
      <c r="C418" s="171">
        <v>2673</v>
      </c>
      <c r="D418" s="171">
        <v>2715</v>
      </c>
      <c r="E418" s="171">
        <v>2720</v>
      </c>
      <c r="F418" s="171">
        <v>2736</v>
      </c>
      <c r="G418" s="171">
        <v>2752</v>
      </c>
      <c r="H418" s="171">
        <v>2782</v>
      </c>
      <c r="I418" s="171">
        <v>2842</v>
      </c>
      <c r="J418" s="171">
        <v>2894</v>
      </c>
      <c r="K418" s="171">
        <v>2927</v>
      </c>
      <c r="L418" s="171">
        <v>2955</v>
      </c>
      <c r="M418" s="171">
        <v>2986</v>
      </c>
      <c r="N418" s="171">
        <v>3002</v>
      </c>
    </row>
    <row r="419" spans="2:14" ht="13.5" thickBot="1">
      <c r="B419" s="147" t="s">
        <v>0</v>
      </c>
      <c r="C419" s="170">
        <f aca="true" t="shared" si="15" ref="C419:M419">SUM(C398:C418)</f>
        <v>84818</v>
      </c>
      <c r="D419" s="170">
        <f t="shared" si="15"/>
        <v>86850</v>
      </c>
      <c r="E419" s="170">
        <f t="shared" si="15"/>
        <v>87682</v>
      </c>
      <c r="F419" s="170">
        <f t="shared" si="15"/>
        <v>88632</v>
      </c>
      <c r="G419" s="172">
        <f t="shared" si="15"/>
        <v>89665</v>
      </c>
      <c r="H419" s="170">
        <f t="shared" si="15"/>
        <v>91208</v>
      </c>
      <c r="I419" s="170">
        <f t="shared" si="15"/>
        <v>92672</v>
      </c>
      <c r="J419" s="170">
        <f>SUM(J398:J418)</f>
        <v>94006</v>
      </c>
      <c r="K419" s="170">
        <f t="shared" si="15"/>
        <v>95192</v>
      </c>
      <c r="L419" s="170">
        <f>SUM(L398:L418)</f>
        <v>96799</v>
      </c>
      <c r="M419" s="170">
        <f t="shared" si="15"/>
        <v>98021</v>
      </c>
      <c r="N419" s="170">
        <f>SUM(N398:N418)</f>
        <v>98908</v>
      </c>
    </row>
    <row r="421" spans="5:11" ht="12.75">
      <c r="E421" s="148"/>
      <c r="F421" s="148"/>
      <c r="G421" s="148"/>
      <c r="H421" s="148"/>
      <c r="I421" s="148"/>
      <c r="J421" s="148"/>
      <c r="K421" s="148"/>
    </row>
    <row r="423" spans="2:14" ht="12.75">
      <c r="B423" s="137" t="s">
        <v>24</v>
      </c>
      <c r="C423" s="137"/>
      <c r="D423" s="137"/>
      <c r="E423" s="137"/>
      <c r="F423" s="137"/>
      <c r="G423" s="163"/>
      <c r="H423" s="137"/>
      <c r="I423" s="137"/>
      <c r="J423" s="137"/>
      <c r="K423" s="163"/>
      <c r="L423" s="137"/>
      <c r="M423" s="121"/>
      <c r="N423" s="121"/>
    </row>
    <row r="424" spans="2:17" ht="12.75">
      <c r="B424" s="159"/>
      <c r="C424" s="159"/>
      <c r="D424" s="159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20"/>
      <c r="P424" s="120"/>
      <c r="Q424" s="120"/>
    </row>
    <row r="425" spans="2:14" ht="12.75">
      <c r="B425" s="137" t="s">
        <v>106</v>
      </c>
      <c r="C425" s="137"/>
      <c r="D425" s="137"/>
      <c r="E425" s="137"/>
      <c r="F425" s="137"/>
      <c r="G425" s="163"/>
      <c r="H425" s="137"/>
      <c r="I425" s="137"/>
      <c r="J425" s="137"/>
      <c r="K425" s="163"/>
      <c r="L425" s="137"/>
      <c r="M425" s="121"/>
      <c r="N425" s="121"/>
    </row>
    <row r="426" spans="2:14" ht="12.75"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</row>
    <row r="427" spans="2:14" ht="13.5" thickBot="1"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</row>
    <row r="428" spans="2:14" ht="21" customHeight="1" thickBot="1">
      <c r="B428" s="175" t="s">
        <v>533</v>
      </c>
      <c r="C428" s="13" t="s">
        <v>446</v>
      </c>
      <c r="D428" s="13" t="s">
        <v>448</v>
      </c>
      <c r="E428" s="13" t="s">
        <v>451</v>
      </c>
      <c r="F428" s="13" t="s">
        <v>465</v>
      </c>
      <c r="G428" s="13" t="s">
        <v>480</v>
      </c>
      <c r="H428" s="13" t="s">
        <v>478</v>
      </c>
      <c r="I428" s="13" t="s">
        <v>482</v>
      </c>
      <c r="J428" s="13" t="s">
        <v>484</v>
      </c>
      <c r="K428" s="13" t="s">
        <v>487</v>
      </c>
      <c r="L428" s="13" t="s">
        <v>488</v>
      </c>
      <c r="M428" s="13" t="s">
        <v>529</v>
      </c>
      <c r="N428" s="13" t="s">
        <v>532</v>
      </c>
    </row>
    <row r="429" spans="2:14" ht="12.75">
      <c r="B429" s="160" t="s">
        <v>353</v>
      </c>
      <c r="C429" s="283">
        <f>5502+2</f>
        <v>5504</v>
      </c>
      <c r="D429" s="283">
        <v>5631</v>
      </c>
      <c r="E429" s="283">
        <v>5693</v>
      </c>
      <c r="F429" s="283">
        <v>5774</v>
      </c>
      <c r="G429" s="283">
        <v>5866</v>
      </c>
      <c r="H429" s="283">
        <v>5958</v>
      </c>
      <c r="I429" s="283">
        <v>6131</v>
      </c>
      <c r="J429" s="283">
        <v>6198</v>
      </c>
      <c r="K429" s="283">
        <v>6263</v>
      </c>
      <c r="L429" s="283">
        <v>6295</v>
      </c>
      <c r="M429" s="283">
        <v>6341</v>
      </c>
      <c r="N429" s="283">
        <v>6387</v>
      </c>
    </row>
    <row r="430" spans="2:14" ht="12.75">
      <c r="B430" s="161" t="s">
        <v>354</v>
      </c>
      <c r="C430" s="171">
        <v>5846</v>
      </c>
      <c r="D430" s="171">
        <v>5960</v>
      </c>
      <c r="E430" s="171">
        <v>6009</v>
      </c>
      <c r="F430" s="171">
        <v>6043</v>
      </c>
      <c r="G430" s="171">
        <v>6100</v>
      </c>
      <c r="H430" s="171">
        <v>6179</v>
      </c>
      <c r="I430" s="171">
        <v>6260</v>
      </c>
      <c r="J430" s="171">
        <v>6316</v>
      </c>
      <c r="K430" s="171">
        <v>6364</v>
      </c>
      <c r="L430" s="171">
        <v>6417</v>
      </c>
      <c r="M430" s="171">
        <v>6506</v>
      </c>
      <c r="N430" s="171">
        <v>6549</v>
      </c>
    </row>
    <row r="431" spans="2:14" ht="12.75">
      <c r="B431" s="161" t="s">
        <v>355</v>
      </c>
      <c r="C431" s="171">
        <f>2180+1</f>
        <v>2181</v>
      </c>
      <c r="D431" s="171">
        <v>2169</v>
      </c>
      <c r="E431" s="171">
        <v>2153</v>
      </c>
      <c r="F431" s="171">
        <v>2174</v>
      </c>
      <c r="G431" s="171">
        <v>2223</v>
      </c>
      <c r="H431" s="171">
        <v>2275</v>
      </c>
      <c r="I431" s="171">
        <v>2340</v>
      </c>
      <c r="J431" s="171">
        <v>2374</v>
      </c>
      <c r="K431" s="171">
        <v>2401</v>
      </c>
      <c r="L431" s="171">
        <v>2425</v>
      </c>
      <c r="M431" s="171">
        <v>2448</v>
      </c>
      <c r="N431" s="171">
        <v>2463</v>
      </c>
    </row>
    <row r="432" spans="2:14" ht="12.75">
      <c r="B432" s="161" t="s">
        <v>356</v>
      </c>
      <c r="C432" s="171">
        <f>7057+5</f>
        <v>7062</v>
      </c>
      <c r="D432" s="171">
        <v>7257</v>
      </c>
      <c r="E432" s="171">
        <v>7379</v>
      </c>
      <c r="F432" s="171">
        <v>7462</v>
      </c>
      <c r="G432" s="171">
        <v>7571</v>
      </c>
      <c r="H432" s="171">
        <v>7691</v>
      </c>
      <c r="I432" s="171">
        <v>7875</v>
      </c>
      <c r="J432" s="171">
        <v>7947</v>
      </c>
      <c r="K432" s="171">
        <v>8006</v>
      </c>
      <c r="L432" s="171">
        <v>8075</v>
      </c>
      <c r="M432" s="171">
        <v>8123</v>
      </c>
      <c r="N432" s="171">
        <v>8171</v>
      </c>
    </row>
    <row r="433" spans="2:14" ht="12.75">
      <c r="B433" s="161" t="s">
        <v>357</v>
      </c>
      <c r="C433" s="171">
        <v>1832</v>
      </c>
      <c r="D433" s="171">
        <v>1855</v>
      </c>
      <c r="E433" s="171">
        <v>1879</v>
      </c>
      <c r="F433" s="171">
        <v>1888</v>
      </c>
      <c r="G433" s="171">
        <v>1918</v>
      </c>
      <c r="H433" s="171">
        <v>1950</v>
      </c>
      <c r="I433" s="171">
        <v>1995</v>
      </c>
      <c r="J433" s="171">
        <v>2015</v>
      </c>
      <c r="K433" s="171">
        <v>2026</v>
      </c>
      <c r="L433" s="171">
        <v>2046</v>
      </c>
      <c r="M433" s="171">
        <v>2056</v>
      </c>
      <c r="N433" s="171">
        <v>2059</v>
      </c>
    </row>
    <row r="434" spans="2:14" ht="12.75">
      <c r="B434" s="161" t="s">
        <v>358</v>
      </c>
      <c r="C434" s="171">
        <f>9358+2+7</f>
        <v>9367</v>
      </c>
      <c r="D434" s="171">
        <v>9634</v>
      </c>
      <c r="E434" s="171">
        <v>9770</v>
      </c>
      <c r="F434" s="171">
        <v>9902</v>
      </c>
      <c r="G434" s="171">
        <v>10040</v>
      </c>
      <c r="H434" s="171">
        <v>10228</v>
      </c>
      <c r="I434" s="171">
        <v>10456</v>
      </c>
      <c r="J434" s="171">
        <v>10611</v>
      </c>
      <c r="K434" s="171">
        <v>10705</v>
      </c>
      <c r="L434" s="171">
        <v>10784</v>
      </c>
      <c r="M434" s="171">
        <v>10902</v>
      </c>
      <c r="N434" s="171">
        <v>11001</v>
      </c>
    </row>
    <row r="435" spans="2:14" ht="12.75">
      <c r="B435" s="161" t="s">
        <v>359</v>
      </c>
      <c r="C435" s="171">
        <v>1771</v>
      </c>
      <c r="D435" s="171">
        <v>1793</v>
      </c>
      <c r="E435" s="171">
        <v>1809</v>
      </c>
      <c r="F435" s="171">
        <v>1826</v>
      </c>
      <c r="G435" s="171">
        <v>1842</v>
      </c>
      <c r="H435" s="171">
        <v>1871</v>
      </c>
      <c r="I435" s="171">
        <v>1907</v>
      </c>
      <c r="J435" s="171">
        <v>1923</v>
      </c>
      <c r="K435" s="171">
        <v>1939</v>
      </c>
      <c r="L435" s="171">
        <v>1945</v>
      </c>
      <c r="M435" s="171">
        <v>1951</v>
      </c>
      <c r="N435" s="171">
        <v>1962</v>
      </c>
    </row>
    <row r="436" spans="2:14" ht="12.75">
      <c r="B436" s="161" t="s">
        <v>360</v>
      </c>
      <c r="C436" s="171">
        <f>4277+3</f>
        <v>4280</v>
      </c>
      <c r="D436" s="171">
        <v>4340</v>
      </c>
      <c r="E436" s="171">
        <v>4382</v>
      </c>
      <c r="F436" s="171">
        <v>4426</v>
      </c>
      <c r="G436" s="171">
        <v>4472</v>
      </c>
      <c r="H436" s="171">
        <v>4579</v>
      </c>
      <c r="I436" s="171">
        <v>4710</v>
      </c>
      <c r="J436" s="171">
        <v>4757</v>
      </c>
      <c r="K436" s="171">
        <v>4793</v>
      </c>
      <c r="L436" s="171">
        <v>4835</v>
      </c>
      <c r="M436" s="171">
        <v>4871</v>
      </c>
      <c r="N436" s="171">
        <v>4911</v>
      </c>
    </row>
    <row r="437" spans="2:14" ht="13.5" thickBot="1">
      <c r="B437" s="162" t="s">
        <v>361</v>
      </c>
      <c r="C437" s="173">
        <f>2703+2</f>
        <v>2705</v>
      </c>
      <c r="D437" s="173">
        <v>2762</v>
      </c>
      <c r="E437" s="173">
        <v>2789</v>
      </c>
      <c r="F437" s="173">
        <v>2816</v>
      </c>
      <c r="G437" s="173">
        <v>2854</v>
      </c>
      <c r="H437" s="173">
        <v>2887</v>
      </c>
      <c r="I437" s="173">
        <v>2963</v>
      </c>
      <c r="J437" s="173">
        <v>3002</v>
      </c>
      <c r="K437" s="171">
        <v>3021</v>
      </c>
      <c r="L437" s="171">
        <v>3046</v>
      </c>
      <c r="M437" s="171">
        <v>3066</v>
      </c>
      <c r="N437" s="171">
        <v>3084</v>
      </c>
    </row>
    <row r="438" spans="2:14" ht="13.5" thickBot="1">
      <c r="B438" s="147" t="s">
        <v>0</v>
      </c>
      <c r="C438" s="170">
        <f aca="true" t="shared" si="16" ref="C438:M438">SUM(C429:C437)</f>
        <v>40548</v>
      </c>
      <c r="D438" s="170">
        <f t="shared" si="16"/>
        <v>41401</v>
      </c>
      <c r="E438" s="170">
        <f t="shared" si="16"/>
        <v>41863</v>
      </c>
      <c r="F438" s="170">
        <f t="shared" si="16"/>
        <v>42311</v>
      </c>
      <c r="G438" s="172">
        <f t="shared" si="16"/>
        <v>42886</v>
      </c>
      <c r="H438" s="170">
        <f t="shared" si="16"/>
        <v>43618</v>
      </c>
      <c r="I438" s="170">
        <f t="shared" si="16"/>
        <v>44637</v>
      </c>
      <c r="J438" s="170">
        <f>SUM(J429:J437)</f>
        <v>45143</v>
      </c>
      <c r="K438" s="170">
        <f t="shared" si="16"/>
        <v>45518</v>
      </c>
      <c r="L438" s="170">
        <f>SUM(L429:L437)</f>
        <v>45868</v>
      </c>
      <c r="M438" s="170">
        <f t="shared" si="16"/>
        <v>46264</v>
      </c>
      <c r="N438" s="170">
        <f>SUM(N429:N437)</f>
        <v>46587</v>
      </c>
    </row>
    <row r="439" spans="2:14" ht="12.75"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</row>
    <row r="440" spans="4:14" ht="12.75"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</row>
    <row r="442" spans="2:14" ht="12.75">
      <c r="B442" s="137" t="s">
        <v>5</v>
      </c>
      <c r="C442" s="137"/>
      <c r="D442" s="137"/>
      <c r="E442" s="137"/>
      <c r="F442" s="137"/>
      <c r="G442" s="163"/>
      <c r="H442" s="137"/>
      <c r="I442" s="137"/>
      <c r="J442" s="137"/>
      <c r="K442" s="163"/>
      <c r="L442" s="137"/>
      <c r="M442" s="121"/>
      <c r="N442" s="121"/>
    </row>
    <row r="443" spans="2:17" ht="12.75"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20"/>
      <c r="P443" s="120"/>
      <c r="Q443" s="120"/>
    </row>
    <row r="444" ht="12.75">
      <c r="B444" s="163" t="s">
        <v>106</v>
      </c>
    </row>
    <row r="446" ht="13.5" thickBot="1"/>
    <row r="447" spans="2:14" ht="21" customHeight="1" thickBot="1">
      <c r="B447" s="175" t="s">
        <v>533</v>
      </c>
      <c r="C447" s="13" t="s">
        <v>446</v>
      </c>
      <c r="D447" s="13" t="s">
        <v>448</v>
      </c>
      <c r="E447" s="13" t="s">
        <v>451</v>
      </c>
      <c r="F447" s="13" t="s">
        <v>465</v>
      </c>
      <c r="G447" s="13" t="s">
        <v>480</v>
      </c>
      <c r="H447" s="13" t="s">
        <v>478</v>
      </c>
      <c r="I447" s="13" t="s">
        <v>482</v>
      </c>
      <c r="J447" s="13" t="s">
        <v>484</v>
      </c>
      <c r="K447" s="13" t="s">
        <v>487</v>
      </c>
      <c r="L447" s="13" t="s">
        <v>488</v>
      </c>
      <c r="M447" s="13" t="s">
        <v>529</v>
      </c>
      <c r="N447" s="13" t="s">
        <v>532</v>
      </c>
    </row>
    <row r="448" spans="2:14" ht="12.75">
      <c r="B448" s="138" t="s">
        <v>362</v>
      </c>
      <c r="C448" s="283">
        <f>3514+2</f>
        <v>3516</v>
      </c>
      <c r="D448" s="283">
        <v>3578</v>
      </c>
      <c r="E448" s="283">
        <v>3624</v>
      </c>
      <c r="F448" s="283">
        <v>3664</v>
      </c>
      <c r="G448" s="283">
        <v>3703</v>
      </c>
      <c r="H448" s="283">
        <v>3753</v>
      </c>
      <c r="I448" s="283">
        <v>3813</v>
      </c>
      <c r="J448" s="283">
        <v>3838</v>
      </c>
      <c r="K448" s="283">
        <v>3854</v>
      </c>
      <c r="L448" s="283">
        <v>3873</v>
      </c>
      <c r="M448" s="283">
        <v>3904</v>
      </c>
      <c r="N448" s="283">
        <v>3917</v>
      </c>
    </row>
    <row r="449" spans="2:14" ht="12.75">
      <c r="B449" s="140" t="s">
        <v>363</v>
      </c>
      <c r="C449" s="171">
        <f>3354+3</f>
        <v>3357</v>
      </c>
      <c r="D449" s="171">
        <v>3424</v>
      </c>
      <c r="E449" s="171">
        <v>3466</v>
      </c>
      <c r="F449" s="171">
        <v>3503</v>
      </c>
      <c r="G449" s="171">
        <v>3538</v>
      </c>
      <c r="H449" s="171">
        <v>3607</v>
      </c>
      <c r="I449" s="171">
        <v>3676</v>
      </c>
      <c r="J449" s="171">
        <v>3712</v>
      </c>
      <c r="K449" s="171">
        <v>3741</v>
      </c>
      <c r="L449" s="171">
        <v>3767</v>
      </c>
      <c r="M449" s="171">
        <v>3790</v>
      </c>
      <c r="N449" s="171">
        <v>3826</v>
      </c>
    </row>
    <row r="450" spans="2:14" ht="12.75">
      <c r="B450" s="140" t="s">
        <v>364</v>
      </c>
      <c r="C450" s="171">
        <f>1111+1</f>
        <v>1112</v>
      </c>
      <c r="D450" s="171">
        <v>1123</v>
      </c>
      <c r="E450" s="171">
        <v>1136</v>
      </c>
      <c r="F450" s="171">
        <v>1142</v>
      </c>
      <c r="G450" s="171">
        <v>1148</v>
      </c>
      <c r="H450" s="171">
        <v>1157</v>
      </c>
      <c r="I450" s="171">
        <v>1169</v>
      </c>
      <c r="J450" s="171">
        <v>1182</v>
      </c>
      <c r="K450" s="171">
        <v>1186</v>
      </c>
      <c r="L450" s="171">
        <v>1191</v>
      </c>
      <c r="M450" s="171">
        <v>1195</v>
      </c>
      <c r="N450" s="171">
        <v>1203</v>
      </c>
    </row>
    <row r="451" spans="2:14" ht="12.75">
      <c r="B451" s="140" t="s">
        <v>365</v>
      </c>
      <c r="C451" s="171">
        <f>2031+4</f>
        <v>2035</v>
      </c>
      <c r="D451" s="171">
        <v>2044</v>
      </c>
      <c r="E451" s="171">
        <v>2062</v>
      </c>
      <c r="F451" s="171">
        <v>2091</v>
      </c>
      <c r="G451" s="171">
        <v>2110</v>
      </c>
      <c r="H451" s="171">
        <v>2136</v>
      </c>
      <c r="I451" s="171">
        <v>2187</v>
      </c>
      <c r="J451" s="171">
        <v>2210</v>
      </c>
      <c r="K451" s="171">
        <v>2224</v>
      </c>
      <c r="L451" s="171">
        <v>2247</v>
      </c>
      <c r="M451" s="171">
        <v>2262</v>
      </c>
      <c r="N451" s="171">
        <v>2270</v>
      </c>
    </row>
    <row r="452" spans="2:14" ht="12.75">
      <c r="B452" s="140" t="s">
        <v>366</v>
      </c>
      <c r="C452" s="171">
        <v>2780</v>
      </c>
      <c r="D452" s="171">
        <v>2837</v>
      </c>
      <c r="E452" s="171">
        <v>2860</v>
      </c>
      <c r="F452" s="171">
        <v>2887</v>
      </c>
      <c r="G452" s="171">
        <v>2925</v>
      </c>
      <c r="H452" s="171">
        <v>2965</v>
      </c>
      <c r="I452" s="171">
        <v>3020</v>
      </c>
      <c r="J452" s="171">
        <v>3055</v>
      </c>
      <c r="K452" s="171">
        <v>3077</v>
      </c>
      <c r="L452" s="171">
        <v>3099</v>
      </c>
      <c r="M452" s="171">
        <v>3129</v>
      </c>
      <c r="N452" s="171">
        <v>3155</v>
      </c>
    </row>
    <row r="453" spans="2:14" ht="12.75">
      <c r="B453" s="140" t="s">
        <v>367</v>
      </c>
      <c r="C453" s="171">
        <f>1053+2+1</f>
        <v>1056</v>
      </c>
      <c r="D453" s="171">
        <v>1075</v>
      </c>
      <c r="E453" s="171">
        <v>1091</v>
      </c>
      <c r="F453" s="171">
        <v>1102</v>
      </c>
      <c r="G453" s="171">
        <v>1114</v>
      </c>
      <c r="H453" s="171">
        <v>1129</v>
      </c>
      <c r="I453" s="171">
        <v>1158</v>
      </c>
      <c r="J453" s="171">
        <v>1165</v>
      </c>
      <c r="K453" s="171">
        <v>1170</v>
      </c>
      <c r="L453" s="171">
        <v>1181</v>
      </c>
      <c r="M453" s="171">
        <v>1192</v>
      </c>
      <c r="N453" s="171">
        <v>1201</v>
      </c>
    </row>
    <row r="454" spans="2:14" ht="12.75">
      <c r="B454" s="140" t="s">
        <v>368</v>
      </c>
      <c r="C454" s="171">
        <f>5487+3</f>
        <v>5490</v>
      </c>
      <c r="D454" s="171">
        <v>5586</v>
      </c>
      <c r="E454" s="171">
        <v>5641</v>
      </c>
      <c r="F454" s="171">
        <v>5686</v>
      </c>
      <c r="G454" s="171">
        <v>5745</v>
      </c>
      <c r="H454" s="171">
        <v>5803</v>
      </c>
      <c r="I454" s="171">
        <v>5883</v>
      </c>
      <c r="J454" s="171">
        <v>5936</v>
      </c>
      <c r="K454" s="171">
        <v>5970</v>
      </c>
      <c r="L454" s="171">
        <v>5996</v>
      </c>
      <c r="M454" s="171">
        <v>6042</v>
      </c>
      <c r="N454" s="171">
        <v>6077</v>
      </c>
    </row>
    <row r="455" spans="2:14" ht="12.75">
      <c r="B455" s="140" t="s">
        <v>369</v>
      </c>
      <c r="C455" s="171">
        <f>2453+3</f>
        <v>2456</v>
      </c>
      <c r="D455" s="171">
        <v>2503</v>
      </c>
      <c r="E455" s="171">
        <v>2542</v>
      </c>
      <c r="F455" s="171">
        <v>2581</v>
      </c>
      <c r="G455" s="171">
        <v>2615</v>
      </c>
      <c r="H455" s="171">
        <v>2657</v>
      </c>
      <c r="I455" s="171">
        <v>2707</v>
      </c>
      <c r="J455" s="171">
        <v>2738</v>
      </c>
      <c r="K455" s="171">
        <v>2767</v>
      </c>
      <c r="L455" s="171">
        <v>2803</v>
      </c>
      <c r="M455" s="171">
        <v>2837</v>
      </c>
      <c r="N455" s="171">
        <v>2854</v>
      </c>
    </row>
    <row r="456" spans="2:14" ht="12.75">
      <c r="B456" s="140" t="s">
        <v>370</v>
      </c>
      <c r="C456" s="171">
        <f>19288+14</f>
        <v>19302</v>
      </c>
      <c r="D456" s="171">
        <v>19909</v>
      </c>
      <c r="E456" s="171">
        <v>20195</v>
      </c>
      <c r="F456" s="171">
        <v>20500</v>
      </c>
      <c r="G456" s="171">
        <v>20897</v>
      </c>
      <c r="H456" s="171">
        <v>21277</v>
      </c>
      <c r="I456" s="171">
        <v>21790</v>
      </c>
      <c r="J456" s="171">
        <v>22110</v>
      </c>
      <c r="K456" s="171">
        <v>22363</v>
      </c>
      <c r="L456" s="171">
        <v>22584</v>
      </c>
      <c r="M456" s="171">
        <v>22781</v>
      </c>
      <c r="N456" s="171">
        <v>22983</v>
      </c>
    </row>
    <row r="457" spans="2:14" ht="13.5" thickBot="1">
      <c r="B457" s="145" t="s">
        <v>371</v>
      </c>
      <c r="C457" s="171">
        <f>1963+2</f>
        <v>1965</v>
      </c>
      <c r="D457" s="171">
        <v>1996</v>
      </c>
      <c r="E457" s="171">
        <v>2014</v>
      </c>
      <c r="F457" s="171">
        <v>2038</v>
      </c>
      <c r="G457" s="171">
        <v>2058</v>
      </c>
      <c r="H457" s="171">
        <v>2096</v>
      </c>
      <c r="I457" s="171">
        <v>2134</v>
      </c>
      <c r="J457" s="171">
        <v>2153</v>
      </c>
      <c r="K457" s="171">
        <v>2169</v>
      </c>
      <c r="L457" s="171">
        <v>2184</v>
      </c>
      <c r="M457" s="171">
        <v>2201</v>
      </c>
      <c r="N457" s="171">
        <v>2216</v>
      </c>
    </row>
    <row r="458" spans="2:14" ht="13.5" thickBot="1">
      <c r="B458" s="147" t="s">
        <v>0</v>
      </c>
      <c r="C458" s="170">
        <f aca="true" t="shared" si="17" ref="C458:M458">SUM(C448:C457)</f>
        <v>43069</v>
      </c>
      <c r="D458" s="170">
        <f t="shared" si="17"/>
        <v>44075</v>
      </c>
      <c r="E458" s="170">
        <f t="shared" si="17"/>
        <v>44631</v>
      </c>
      <c r="F458" s="170">
        <f t="shared" si="17"/>
        <v>45194</v>
      </c>
      <c r="G458" s="172">
        <f t="shared" si="17"/>
        <v>45853</v>
      </c>
      <c r="H458" s="170">
        <f t="shared" si="17"/>
        <v>46580</v>
      </c>
      <c r="I458" s="170">
        <f t="shared" si="17"/>
        <v>47537</v>
      </c>
      <c r="J458" s="170">
        <f>SUM(J448:J457)</f>
        <v>48099</v>
      </c>
      <c r="K458" s="170">
        <f t="shared" si="17"/>
        <v>48521</v>
      </c>
      <c r="L458" s="170">
        <f>SUM(L448:L457)</f>
        <v>48925</v>
      </c>
      <c r="M458" s="170">
        <f t="shared" si="17"/>
        <v>49333</v>
      </c>
      <c r="N458" s="170">
        <f>SUM(N448:N457)</f>
        <v>49702</v>
      </c>
    </row>
    <row r="460" spans="5:11" ht="12.75">
      <c r="E460" s="148"/>
      <c r="F460" s="148"/>
      <c r="G460" s="148"/>
      <c r="H460" s="148"/>
      <c r="I460" s="148"/>
      <c r="J460" s="148"/>
      <c r="K460" s="148"/>
    </row>
    <row r="462" spans="2:14" ht="12.75">
      <c r="B462" s="137" t="s">
        <v>25</v>
      </c>
      <c r="C462" s="137"/>
      <c r="D462" s="137"/>
      <c r="E462" s="137"/>
      <c r="F462" s="137"/>
      <c r="G462" s="163"/>
      <c r="H462" s="137"/>
      <c r="I462" s="137"/>
      <c r="J462" s="137"/>
      <c r="K462" s="163"/>
      <c r="L462" s="137"/>
      <c r="M462" s="121"/>
      <c r="N462" s="121"/>
    </row>
    <row r="463" spans="2:17" ht="12.75"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20"/>
      <c r="P463" s="120"/>
      <c r="Q463" s="120"/>
    </row>
    <row r="464" spans="2:11" ht="12.75">
      <c r="B464" s="163" t="s">
        <v>106</v>
      </c>
      <c r="E464" s="148"/>
      <c r="F464" s="148"/>
      <c r="G464" s="148"/>
      <c r="H464" s="148"/>
      <c r="I464" s="148"/>
      <c r="J464" s="148"/>
      <c r="K464" s="148"/>
    </row>
    <row r="466" ht="13.5" thickBot="1"/>
    <row r="467" spans="2:14" ht="21" customHeight="1" thickBot="1">
      <c r="B467" s="175" t="s">
        <v>533</v>
      </c>
      <c r="C467" s="13" t="s">
        <v>446</v>
      </c>
      <c r="D467" s="13" t="s">
        <v>448</v>
      </c>
      <c r="E467" s="13" t="s">
        <v>451</v>
      </c>
      <c r="F467" s="13" t="s">
        <v>465</v>
      </c>
      <c r="G467" s="13" t="s">
        <v>480</v>
      </c>
      <c r="H467" s="13" t="s">
        <v>478</v>
      </c>
      <c r="I467" s="13" t="s">
        <v>482</v>
      </c>
      <c r="J467" s="13" t="s">
        <v>484</v>
      </c>
      <c r="K467" s="13" t="s">
        <v>487</v>
      </c>
      <c r="L467" s="13" t="s">
        <v>488</v>
      </c>
      <c r="M467" s="13" t="s">
        <v>529</v>
      </c>
      <c r="N467" s="13" t="s">
        <v>532</v>
      </c>
    </row>
    <row r="468" spans="2:14" ht="12.75">
      <c r="B468" s="138" t="s">
        <v>372</v>
      </c>
      <c r="C468" s="283">
        <f>6625+5</f>
        <v>6630</v>
      </c>
      <c r="D468" s="283">
        <v>6747</v>
      </c>
      <c r="E468" s="283">
        <v>6795</v>
      </c>
      <c r="F468" s="283">
        <v>6868</v>
      </c>
      <c r="G468" s="283">
        <v>6939</v>
      </c>
      <c r="H468" s="283">
        <v>7048</v>
      </c>
      <c r="I468" s="283">
        <v>7258</v>
      </c>
      <c r="J468" s="283">
        <v>7334</v>
      </c>
      <c r="K468" s="283">
        <v>7397</v>
      </c>
      <c r="L468" s="283">
        <v>7451</v>
      </c>
      <c r="M468" s="283">
        <v>7540</v>
      </c>
      <c r="N468" s="283">
        <v>7600</v>
      </c>
    </row>
    <row r="469" spans="2:14" ht="12.75">
      <c r="B469" s="140" t="s">
        <v>373</v>
      </c>
      <c r="C469" s="171">
        <f>2731+5</f>
        <v>2736</v>
      </c>
      <c r="D469" s="171">
        <v>2806</v>
      </c>
      <c r="E469" s="171">
        <v>2834</v>
      </c>
      <c r="F469" s="171">
        <v>2854</v>
      </c>
      <c r="G469" s="171">
        <v>2894</v>
      </c>
      <c r="H469" s="171">
        <v>2921</v>
      </c>
      <c r="I469" s="171">
        <v>2999</v>
      </c>
      <c r="J469" s="171">
        <v>3043</v>
      </c>
      <c r="K469" s="171">
        <v>3072</v>
      </c>
      <c r="L469" s="171">
        <v>3107</v>
      </c>
      <c r="M469" s="171">
        <v>3124</v>
      </c>
      <c r="N469" s="171">
        <v>3137</v>
      </c>
    </row>
    <row r="470" spans="2:14" ht="12.75">
      <c r="B470" s="140" t="s">
        <v>374</v>
      </c>
      <c r="C470" s="173">
        <f>2335+1+2</f>
        <v>2338</v>
      </c>
      <c r="D470" s="173">
        <v>2378</v>
      </c>
      <c r="E470" s="173">
        <v>2388</v>
      </c>
      <c r="F470" s="173">
        <v>2412</v>
      </c>
      <c r="G470" s="173">
        <v>2437</v>
      </c>
      <c r="H470" s="173">
        <v>2463</v>
      </c>
      <c r="I470" s="173">
        <v>2491</v>
      </c>
      <c r="J470" s="173">
        <v>2522</v>
      </c>
      <c r="K470" s="171">
        <v>2537</v>
      </c>
      <c r="L470" s="171">
        <v>2557</v>
      </c>
      <c r="M470" s="171">
        <v>2576</v>
      </c>
      <c r="N470" s="171">
        <v>2592</v>
      </c>
    </row>
    <row r="471" spans="2:14" ht="12.75">
      <c r="B471" s="140" t="s">
        <v>375</v>
      </c>
      <c r="C471" s="171">
        <f>5733+4</f>
        <v>5737</v>
      </c>
      <c r="D471" s="171">
        <v>5859</v>
      </c>
      <c r="E471" s="171">
        <v>5930</v>
      </c>
      <c r="F471" s="171">
        <v>5990</v>
      </c>
      <c r="G471" s="171">
        <v>6068</v>
      </c>
      <c r="H471" s="171">
        <v>6150</v>
      </c>
      <c r="I471" s="171">
        <v>6276</v>
      </c>
      <c r="J471" s="171">
        <v>6369</v>
      </c>
      <c r="K471" s="171">
        <v>6415</v>
      </c>
      <c r="L471" s="171">
        <v>6454</v>
      </c>
      <c r="M471" s="171">
        <v>6513</v>
      </c>
      <c r="N471" s="171">
        <v>6576</v>
      </c>
    </row>
    <row r="472" spans="2:14" ht="12.75">
      <c r="B472" s="140" t="s">
        <v>376</v>
      </c>
      <c r="C472" s="171">
        <v>2010</v>
      </c>
      <c r="D472" s="171">
        <v>2025</v>
      </c>
      <c r="E472" s="171">
        <v>2046</v>
      </c>
      <c r="F472" s="171">
        <v>2068</v>
      </c>
      <c r="G472" s="171">
        <v>2089</v>
      </c>
      <c r="H472" s="171">
        <v>2110</v>
      </c>
      <c r="I472" s="171">
        <v>2149</v>
      </c>
      <c r="J472" s="171">
        <v>2155</v>
      </c>
      <c r="K472" s="171">
        <v>2168</v>
      </c>
      <c r="L472" s="171">
        <v>2187</v>
      </c>
      <c r="M472" s="171">
        <v>2207</v>
      </c>
      <c r="N472" s="171">
        <v>2222</v>
      </c>
    </row>
    <row r="473" spans="2:14" ht="12.75">
      <c r="B473" s="140" t="s">
        <v>377</v>
      </c>
      <c r="C473" s="171">
        <f>11739+4</f>
        <v>11743</v>
      </c>
      <c r="D473" s="171">
        <v>11922</v>
      </c>
      <c r="E473" s="171">
        <v>12012</v>
      </c>
      <c r="F473" s="171">
        <v>12095</v>
      </c>
      <c r="G473" s="171">
        <v>12205</v>
      </c>
      <c r="H473" s="171">
        <v>12342</v>
      </c>
      <c r="I473" s="171">
        <v>12591</v>
      </c>
      <c r="J473" s="171">
        <v>12680</v>
      </c>
      <c r="K473" s="171">
        <v>12747</v>
      </c>
      <c r="L473" s="171">
        <v>12800</v>
      </c>
      <c r="M473" s="171">
        <v>12894</v>
      </c>
      <c r="N473" s="171">
        <v>13014</v>
      </c>
    </row>
    <row r="474" spans="2:14" ht="12.75">
      <c r="B474" s="140" t="s">
        <v>378</v>
      </c>
      <c r="C474" s="171">
        <v>2423</v>
      </c>
      <c r="D474" s="171">
        <v>2483</v>
      </c>
      <c r="E474" s="171">
        <v>2517</v>
      </c>
      <c r="F474" s="171">
        <v>2546</v>
      </c>
      <c r="G474" s="171">
        <v>2593</v>
      </c>
      <c r="H474" s="171">
        <v>2628</v>
      </c>
      <c r="I474" s="171">
        <v>2711</v>
      </c>
      <c r="J474" s="171">
        <v>2732</v>
      </c>
      <c r="K474" s="171">
        <v>2743</v>
      </c>
      <c r="L474" s="171">
        <v>2765</v>
      </c>
      <c r="M474" s="171">
        <v>2780</v>
      </c>
      <c r="N474" s="171">
        <v>2796</v>
      </c>
    </row>
    <row r="475" spans="2:14" ht="12.75">
      <c r="B475" s="140" t="s">
        <v>379</v>
      </c>
      <c r="C475" s="171">
        <f>7666+1</f>
        <v>7667</v>
      </c>
      <c r="D475" s="171">
        <v>7786</v>
      </c>
      <c r="E475" s="171">
        <v>7857</v>
      </c>
      <c r="F475" s="171">
        <v>7906</v>
      </c>
      <c r="G475" s="171">
        <v>7982</v>
      </c>
      <c r="H475" s="171">
        <v>8068</v>
      </c>
      <c r="I475" s="171">
        <v>8196</v>
      </c>
      <c r="J475" s="171">
        <v>8277</v>
      </c>
      <c r="K475" s="171">
        <v>8318</v>
      </c>
      <c r="L475" s="171">
        <v>8361</v>
      </c>
      <c r="M475" s="171">
        <v>8404</v>
      </c>
      <c r="N475" s="171">
        <v>8456</v>
      </c>
    </row>
    <row r="476" spans="2:14" ht="12.75">
      <c r="B476" s="140" t="s">
        <v>407</v>
      </c>
      <c r="C476" s="171">
        <f>614+1</f>
        <v>615</v>
      </c>
      <c r="D476" s="171">
        <v>656</v>
      </c>
      <c r="E476" s="171">
        <v>669</v>
      </c>
      <c r="F476" s="171">
        <v>691</v>
      </c>
      <c r="G476" s="171">
        <v>713</v>
      </c>
      <c r="H476" s="171">
        <v>727</v>
      </c>
      <c r="I476" s="171">
        <v>768</v>
      </c>
      <c r="J476" s="171">
        <v>784</v>
      </c>
      <c r="K476" s="171">
        <v>796</v>
      </c>
      <c r="L476" s="171">
        <v>805</v>
      </c>
      <c r="M476" s="171">
        <v>819</v>
      </c>
      <c r="N476" s="171">
        <v>821</v>
      </c>
    </row>
    <row r="477" spans="2:14" ht="12.75">
      <c r="B477" s="140" t="s">
        <v>380</v>
      </c>
      <c r="C477" s="171">
        <f>4951+3</f>
        <v>4954</v>
      </c>
      <c r="D477" s="171">
        <v>5028</v>
      </c>
      <c r="E477" s="171">
        <v>5055</v>
      </c>
      <c r="F477" s="171">
        <v>5097</v>
      </c>
      <c r="G477" s="171">
        <v>5160</v>
      </c>
      <c r="H477" s="171">
        <v>5232</v>
      </c>
      <c r="I477" s="171">
        <v>5338</v>
      </c>
      <c r="J477" s="171">
        <v>5380</v>
      </c>
      <c r="K477" s="171">
        <v>5404</v>
      </c>
      <c r="L477" s="171">
        <v>5441</v>
      </c>
      <c r="M477" s="171">
        <v>5486</v>
      </c>
      <c r="N477" s="171">
        <v>5514</v>
      </c>
    </row>
    <row r="478" spans="2:14" ht="12.75">
      <c r="B478" s="140" t="s">
        <v>381</v>
      </c>
      <c r="C478" s="171">
        <v>1198</v>
      </c>
      <c r="D478" s="171">
        <v>1234</v>
      </c>
      <c r="E478" s="171">
        <v>1235</v>
      </c>
      <c r="F478" s="171">
        <v>1243</v>
      </c>
      <c r="G478" s="171">
        <v>1248</v>
      </c>
      <c r="H478" s="171">
        <v>1258</v>
      </c>
      <c r="I478" s="171">
        <v>1280</v>
      </c>
      <c r="J478" s="171">
        <v>1287</v>
      </c>
      <c r="K478" s="171">
        <v>1297</v>
      </c>
      <c r="L478" s="171">
        <v>1306</v>
      </c>
      <c r="M478" s="171">
        <v>1312</v>
      </c>
      <c r="N478" s="171">
        <v>1322</v>
      </c>
    </row>
    <row r="479" spans="2:14" ht="12.75">
      <c r="B479" s="142" t="s">
        <v>382</v>
      </c>
      <c r="C479" s="171">
        <f>17264+1+15</f>
        <v>17280</v>
      </c>
      <c r="D479" s="171">
        <v>17789</v>
      </c>
      <c r="E479" s="171">
        <v>18020</v>
      </c>
      <c r="F479" s="171">
        <v>18237</v>
      </c>
      <c r="G479" s="171">
        <v>18512</v>
      </c>
      <c r="H479" s="171">
        <v>18833</v>
      </c>
      <c r="I479" s="171">
        <v>19248</v>
      </c>
      <c r="J479" s="171">
        <v>19484</v>
      </c>
      <c r="K479" s="171">
        <v>19679</v>
      </c>
      <c r="L479" s="171">
        <v>19877</v>
      </c>
      <c r="M479" s="171">
        <v>20184</v>
      </c>
      <c r="N479" s="171">
        <v>20397</v>
      </c>
    </row>
    <row r="480" spans="2:14" ht="13.5" thickBot="1">
      <c r="B480" s="145" t="s">
        <v>383</v>
      </c>
      <c r="C480" s="171">
        <v>3274</v>
      </c>
      <c r="D480" s="171">
        <v>3323</v>
      </c>
      <c r="E480" s="171">
        <v>3353</v>
      </c>
      <c r="F480" s="171">
        <v>3380</v>
      </c>
      <c r="G480" s="171">
        <v>3420</v>
      </c>
      <c r="H480" s="171">
        <v>3453</v>
      </c>
      <c r="I480" s="171">
        <v>3513</v>
      </c>
      <c r="J480" s="171">
        <v>3534</v>
      </c>
      <c r="K480" s="171">
        <v>3572</v>
      </c>
      <c r="L480" s="171">
        <v>3595</v>
      </c>
      <c r="M480" s="171">
        <v>3605</v>
      </c>
      <c r="N480" s="171">
        <v>3632</v>
      </c>
    </row>
    <row r="481" spans="2:14" ht="13.5" thickBot="1">
      <c r="B481" s="147" t="s">
        <v>0</v>
      </c>
      <c r="C481" s="172">
        <f aca="true" t="shared" si="18" ref="C481:M481">SUM(C468:C480)</f>
        <v>68605</v>
      </c>
      <c r="D481" s="172">
        <f t="shared" si="18"/>
        <v>70036</v>
      </c>
      <c r="E481" s="172">
        <f t="shared" si="18"/>
        <v>70711</v>
      </c>
      <c r="F481" s="172">
        <f t="shared" si="18"/>
        <v>71387</v>
      </c>
      <c r="G481" s="172">
        <f t="shared" si="18"/>
        <v>72260</v>
      </c>
      <c r="H481" s="172">
        <f t="shared" si="18"/>
        <v>73233</v>
      </c>
      <c r="I481" s="172">
        <f t="shared" si="18"/>
        <v>74818</v>
      </c>
      <c r="J481" s="172">
        <f>SUM(J468:J480)</f>
        <v>75581</v>
      </c>
      <c r="K481" s="172">
        <f t="shared" si="18"/>
        <v>76145</v>
      </c>
      <c r="L481" s="172">
        <f>SUM(L468:L480)</f>
        <v>76706</v>
      </c>
      <c r="M481" s="172">
        <f t="shared" si="18"/>
        <v>77444</v>
      </c>
      <c r="N481" s="172">
        <f>SUM(N468:N480)</f>
        <v>78079</v>
      </c>
    </row>
    <row r="483" spans="5:11" ht="12.75">
      <c r="E483" s="148"/>
      <c r="F483" s="148"/>
      <c r="G483" s="148"/>
      <c r="H483" s="148"/>
      <c r="I483" s="148"/>
      <c r="J483" s="148"/>
      <c r="K483" s="148"/>
    </row>
    <row r="485" spans="2:14" ht="12.75">
      <c r="B485" s="137" t="s">
        <v>26</v>
      </c>
      <c r="C485" s="137"/>
      <c r="D485" s="137"/>
      <c r="E485" s="137"/>
      <c r="F485" s="137"/>
      <c r="G485" s="163"/>
      <c r="H485" s="137"/>
      <c r="I485" s="137"/>
      <c r="J485" s="137"/>
      <c r="K485" s="163"/>
      <c r="L485" s="137"/>
      <c r="M485" s="121"/>
      <c r="N485" s="121"/>
    </row>
    <row r="486" spans="2:17" ht="12.75"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20"/>
      <c r="P486" s="120"/>
      <c r="Q486" s="120"/>
    </row>
    <row r="487" ht="12.75">
      <c r="B487" s="163" t="s">
        <v>106</v>
      </c>
    </row>
    <row r="489" ht="13.5" thickBot="1"/>
    <row r="490" spans="2:14" ht="21" customHeight="1" thickBot="1">
      <c r="B490" s="175" t="s">
        <v>533</v>
      </c>
      <c r="C490" s="13" t="s">
        <v>446</v>
      </c>
      <c r="D490" s="13" t="s">
        <v>448</v>
      </c>
      <c r="E490" s="13" t="s">
        <v>451</v>
      </c>
      <c r="F490" s="13" t="s">
        <v>465</v>
      </c>
      <c r="G490" s="13" t="s">
        <v>480</v>
      </c>
      <c r="H490" s="13" t="s">
        <v>478</v>
      </c>
      <c r="I490" s="13" t="s">
        <v>482</v>
      </c>
      <c r="J490" s="13" t="s">
        <v>484</v>
      </c>
      <c r="K490" s="13" t="s">
        <v>487</v>
      </c>
      <c r="L490" s="13" t="s">
        <v>488</v>
      </c>
      <c r="M490" s="13" t="s">
        <v>529</v>
      </c>
      <c r="N490" s="13" t="s">
        <v>532</v>
      </c>
    </row>
    <row r="491" spans="2:14" ht="12.75">
      <c r="B491" s="138" t="s">
        <v>384</v>
      </c>
      <c r="C491" s="283">
        <f>4024+1</f>
        <v>4025</v>
      </c>
      <c r="D491" s="283">
        <v>4138</v>
      </c>
      <c r="E491" s="283">
        <v>4202</v>
      </c>
      <c r="F491" s="283">
        <v>4259</v>
      </c>
      <c r="G491" s="283">
        <v>4342</v>
      </c>
      <c r="H491" s="283">
        <v>4412</v>
      </c>
      <c r="I491" s="283">
        <v>4533</v>
      </c>
      <c r="J491" s="283">
        <v>4613</v>
      </c>
      <c r="K491" s="283">
        <v>4657</v>
      </c>
      <c r="L491" s="283">
        <v>4727</v>
      </c>
      <c r="M491" s="283">
        <v>4779</v>
      </c>
      <c r="N491" s="283">
        <v>4830</v>
      </c>
    </row>
    <row r="492" spans="2:14" ht="12.75">
      <c r="B492" s="140" t="s">
        <v>385</v>
      </c>
      <c r="C492" s="171">
        <f>7506+6</f>
        <v>7512</v>
      </c>
      <c r="D492" s="171">
        <v>7572</v>
      </c>
      <c r="E492" s="171">
        <v>7590</v>
      </c>
      <c r="F492" s="171">
        <v>7624</v>
      </c>
      <c r="G492" s="171">
        <v>7687</v>
      </c>
      <c r="H492" s="171">
        <v>7745</v>
      </c>
      <c r="I492" s="171">
        <v>7829</v>
      </c>
      <c r="J492" s="171">
        <v>7868</v>
      </c>
      <c r="K492" s="171">
        <v>7901</v>
      </c>
      <c r="L492" s="171">
        <v>7936</v>
      </c>
      <c r="M492" s="171">
        <v>7976</v>
      </c>
      <c r="N492" s="171">
        <v>8000</v>
      </c>
    </row>
    <row r="493" spans="2:14" ht="12.75">
      <c r="B493" s="140" t="s">
        <v>386</v>
      </c>
      <c r="C493" s="171">
        <f>3758+2</f>
        <v>3760</v>
      </c>
      <c r="D493" s="171">
        <v>3800</v>
      </c>
      <c r="E493" s="171">
        <v>3822</v>
      </c>
      <c r="F493" s="171">
        <v>3863</v>
      </c>
      <c r="G493" s="171">
        <v>3887</v>
      </c>
      <c r="H493" s="171">
        <v>3948</v>
      </c>
      <c r="I493" s="171">
        <v>4036</v>
      </c>
      <c r="J493" s="171">
        <v>4071</v>
      </c>
      <c r="K493" s="171">
        <v>4098</v>
      </c>
      <c r="L493" s="171">
        <v>4120</v>
      </c>
      <c r="M493" s="171">
        <v>4134</v>
      </c>
      <c r="N493" s="171">
        <v>4166</v>
      </c>
    </row>
    <row r="494" spans="2:14" ht="12.75">
      <c r="B494" s="140" t="s">
        <v>387</v>
      </c>
      <c r="C494" s="171">
        <v>2404</v>
      </c>
      <c r="D494" s="171">
        <v>2442</v>
      </c>
      <c r="E494" s="171">
        <v>2453</v>
      </c>
      <c r="F494" s="171">
        <v>2471</v>
      </c>
      <c r="G494" s="171">
        <v>2489</v>
      </c>
      <c r="H494" s="171">
        <v>2519</v>
      </c>
      <c r="I494" s="171">
        <v>2576</v>
      </c>
      <c r="J494" s="171">
        <v>2596</v>
      </c>
      <c r="K494" s="171">
        <v>2603</v>
      </c>
      <c r="L494" s="171">
        <v>2627</v>
      </c>
      <c r="M494" s="171">
        <v>2643</v>
      </c>
      <c r="N494" s="171">
        <v>2654</v>
      </c>
    </row>
    <row r="495" spans="2:14" ht="12.75">
      <c r="B495" s="140" t="s">
        <v>388</v>
      </c>
      <c r="C495" s="171">
        <f>12284+3</f>
        <v>12287</v>
      </c>
      <c r="D495" s="171">
        <v>12503</v>
      </c>
      <c r="E495" s="171">
        <v>12593</v>
      </c>
      <c r="F495" s="171">
        <v>12707</v>
      </c>
      <c r="G495" s="171">
        <v>12859</v>
      </c>
      <c r="H495" s="171">
        <v>13033</v>
      </c>
      <c r="I495" s="171">
        <v>13281</v>
      </c>
      <c r="J495" s="171">
        <v>13341</v>
      </c>
      <c r="K495" s="171">
        <v>13410</v>
      </c>
      <c r="L495" s="171">
        <v>13511</v>
      </c>
      <c r="M495" s="171">
        <v>13593</v>
      </c>
      <c r="N495" s="171">
        <v>13672</v>
      </c>
    </row>
    <row r="496" spans="2:14" ht="12.75">
      <c r="B496" s="140" t="s">
        <v>389</v>
      </c>
      <c r="C496" s="171">
        <f>1447+3</f>
        <v>1450</v>
      </c>
      <c r="D496" s="171">
        <v>1458</v>
      </c>
      <c r="E496" s="171">
        <v>1460</v>
      </c>
      <c r="F496" s="171">
        <v>1474</v>
      </c>
      <c r="G496" s="171">
        <v>1478</v>
      </c>
      <c r="H496" s="171">
        <v>1494</v>
      </c>
      <c r="I496" s="171">
        <v>1534</v>
      </c>
      <c r="J496" s="171">
        <v>1573</v>
      </c>
      <c r="K496" s="171">
        <v>1594</v>
      </c>
      <c r="L496" s="171">
        <v>1607</v>
      </c>
      <c r="M496" s="171">
        <v>1638</v>
      </c>
      <c r="N496" s="171">
        <v>1654</v>
      </c>
    </row>
    <row r="497" spans="2:14" ht="12.75">
      <c r="B497" s="140" t="s">
        <v>390</v>
      </c>
      <c r="C497" s="171">
        <v>609</v>
      </c>
      <c r="D497" s="171">
        <v>626</v>
      </c>
      <c r="E497" s="171">
        <v>632</v>
      </c>
      <c r="F497" s="171">
        <v>644</v>
      </c>
      <c r="G497" s="171">
        <v>652</v>
      </c>
      <c r="H497" s="171">
        <v>658</v>
      </c>
      <c r="I497" s="171">
        <v>666</v>
      </c>
      <c r="J497" s="171">
        <v>668</v>
      </c>
      <c r="K497" s="171">
        <v>675</v>
      </c>
      <c r="L497" s="171">
        <v>679</v>
      </c>
      <c r="M497" s="171">
        <v>688</v>
      </c>
      <c r="N497" s="171">
        <v>690</v>
      </c>
    </row>
    <row r="498" spans="2:14" ht="12.75">
      <c r="B498" s="140" t="s">
        <v>391</v>
      </c>
      <c r="C498" s="171">
        <f>17406+13</f>
        <v>17419</v>
      </c>
      <c r="D498" s="171">
        <v>17776</v>
      </c>
      <c r="E498" s="171">
        <v>17890</v>
      </c>
      <c r="F498" s="171">
        <v>18013</v>
      </c>
      <c r="G498" s="171">
        <v>18166</v>
      </c>
      <c r="H498" s="171">
        <v>18402</v>
      </c>
      <c r="I498" s="171">
        <v>18800</v>
      </c>
      <c r="J498" s="171">
        <v>18946</v>
      </c>
      <c r="K498" s="171">
        <v>19056</v>
      </c>
      <c r="L498" s="171">
        <v>19207</v>
      </c>
      <c r="M498" s="171">
        <v>19339</v>
      </c>
      <c r="N498" s="171">
        <v>19449</v>
      </c>
    </row>
    <row r="499" spans="2:14" ht="12.75">
      <c r="B499" s="140" t="s">
        <v>392</v>
      </c>
      <c r="C499" s="171">
        <v>1058</v>
      </c>
      <c r="D499" s="171">
        <v>1072</v>
      </c>
      <c r="E499" s="171">
        <v>1077</v>
      </c>
      <c r="F499" s="171">
        <v>1083</v>
      </c>
      <c r="G499" s="171">
        <v>1090</v>
      </c>
      <c r="H499" s="171">
        <v>1105</v>
      </c>
      <c r="I499" s="171">
        <v>1136</v>
      </c>
      <c r="J499" s="171">
        <v>1145</v>
      </c>
      <c r="K499" s="171">
        <v>1153</v>
      </c>
      <c r="L499" s="171">
        <v>1167</v>
      </c>
      <c r="M499" s="171">
        <v>1170</v>
      </c>
      <c r="N499" s="171">
        <v>1174</v>
      </c>
    </row>
    <row r="500" spans="2:14" ht="13.5" thickBot="1">
      <c r="B500" s="145" t="s">
        <v>393</v>
      </c>
      <c r="C500" s="171">
        <f>2567+1</f>
        <v>2568</v>
      </c>
      <c r="D500" s="171">
        <v>2601</v>
      </c>
      <c r="E500" s="171">
        <v>2612</v>
      </c>
      <c r="F500" s="171">
        <v>2620</v>
      </c>
      <c r="G500" s="171">
        <v>2651</v>
      </c>
      <c r="H500" s="171">
        <v>2683</v>
      </c>
      <c r="I500" s="171">
        <v>2723</v>
      </c>
      <c r="J500" s="171">
        <v>2747</v>
      </c>
      <c r="K500" s="171">
        <v>2764</v>
      </c>
      <c r="L500" s="171">
        <v>2786</v>
      </c>
      <c r="M500" s="171">
        <v>2807</v>
      </c>
      <c r="N500" s="171">
        <v>2820</v>
      </c>
    </row>
    <row r="501" spans="2:14" ht="13.5" thickBot="1">
      <c r="B501" s="147" t="s">
        <v>0</v>
      </c>
      <c r="C501" s="170">
        <f aca="true" t="shared" si="19" ref="C501:M501">SUM(C491:C500)</f>
        <v>53092</v>
      </c>
      <c r="D501" s="170">
        <f t="shared" si="19"/>
        <v>53988</v>
      </c>
      <c r="E501" s="170">
        <f t="shared" si="19"/>
        <v>54331</v>
      </c>
      <c r="F501" s="170">
        <f t="shared" si="19"/>
        <v>54758</v>
      </c>
      <c r="G501" s="172">
        <f t="shared" si="19"/>
        <v>55301</v>
      </c>
      <c r="H501" s="170">
        <f t="shared" si="19"/>
        <v>55999</v>
      </c>
      <c r="I501" s="170">
        <f t="shared" si="19"/>
        <v>57114</v>
      </c>
      <c r="J501" s="170">
        <f>SUM(J491:J500)</f>
        <v>57568</v>
      </c>
      <c r="K501" s="170">
        <f t="shared" si="19"/>
        <v>57911</v>
      </c>
      <c r="L501" s="170">
        <f>SUM(L491:L500)</f>
        <v>58367</v>
      </c>
      <c r="M501" s="170">
        <f t="shared" si="19"/>
        <v>58767</v>
      </c>
      <c r="N501" s="170">
        <f>SUM(N491:N500)</f>
        <v>59109</v>
      </c>
    </row>
    <row r="502" spans="4:14" ht="12.75"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</row>
    <row r="503" spans="5:11" ht="12.75">
      <c r="E503" s="148"/>
      <c r="F503" s="148"/>
      <c r="G503" s="148"/>
      <c r="H503" s="148"/>
      <c r="I503" s="148"/>
      <c r="J503" s="148"/>
      <c r="K503" s="148"/>
    </row>
  </sheetData>
  <sheetProtection/>
  <mergeCells count="1">
    <mergeCell ref="B42:N42"/>
  </mergeCells>
  <hyperlinks>
    <hyperlink ref="B2" location="'Ügyfélkapuk okmányirodánként'!B9" display="BÁCS - KISKUN MEGYE"/>
    <hyperlink ref="B3" location="'Ügyfélkapuk okmányirodánként'!B39" display="BARANYA MEGYE"/>
    <hyperlink ref="B4" location="'Ügyfélkapuk okmányirodánként'!B62" display="BÉKÉS MEGYE"/>
    <hyperlink ref="B6" location="'Ügyfélkapuk okmányirodánként'!B121" display="BUDAPEST FŐVÁROS"/>
    <hyperlink ref="E6" location="'Ügyfélkapuk okmányirodánként'!B485" display="ZALA MEGYE"/>
    <hyperlink ref="E3" location="'Ügyfélkapuk okmányirodánként'!B423" display="TOLNA MEGYE "/>
    <hyperlink ref="E2" location="'Ügyfélkapuk okmányirodánként'!B392" display="SZABOLCS -SZATMÁR- BEREG MEGYE"/>
    <hyperlink ref="D6" location="'Ügyfélkapuk okmányirodánként'!B369" display="SOMOGY MEGYE"/>
    <hyperlink ref="D4" location="'Ügyfélkapuk okmányirodánként'!B309" display="NÓGRÁD MEGYE"/>
    <hyperlink ref="D3" location="'Ügyfélkapuk okmányirodánként'!B290" display="KOMÁROM-ESZTERGOM MEGYE"/>
    <hyperlink ref="C6" location="'Ügyfélkapuk okmányirodánként'!B246" display="HEVES MEGYE"/>
    <hyperlink ref="C4" location="'Ügyfélkapuk okmányirodánként'!B198" display="GYŐR-MOSON-SOPRON MEGYE"/>
    <hyperlink ref="C3" location="'Ügyfélkapuk okmányirodánként'!B176" display="FEJÉR MEGYE"/>
    <hyperlink ref="C2" location="'Ügyfélkapuk okmányirodánként'!B156" display="CSONGRÁD MEGYE"/>
    <hyperlink ref="E4" location="'Ügyfélkapuk okmányirodánként'!B442" display="VAS MEGYE"/>
    <hyperlink ref="D2" location="'Ügyfélkapuk okmányirodánként'!B264" display="JÁSZ-NAGYKUN- SZOLNOK MEGYE"/>
    <hyperlink ref="C5" location="'Ügyfélkapuk okmányirodánként'!B217" display="HAJDU-BIHAR MEGYE"/>
    <hyperlink ref="D5" location="'Ügyfélkapuk okmányirodánként'!B325" display="PEST MEGYE"/>
    <hyperlink ref="E5" location="'Ügyfélkapuk okmányirodánként'!B462" display="VESZPRÉM MEGYE"/>
    <hyperlink ref="B5" location="'Ügyfélkapuk okmányirodánként'!B89" display="BORSOD - ABAÚJ- ZEMPLÉN MEGY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B2:AE4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45.00390625" style="1" customWidth="1"/>
    <col min="3" max="4" width="11.28125" style="1" customWidth="1"/>
    <col min="5" max="7" width="10.28125" style="1" customWidth="1"/>
    <col min="8" max="10" width="11.140625" style="1" customWidth="1"/>
    <col min="11" max="11" width="11.00390625" style="1" customWidth="1"/>
    <col min="12" max="16" width="10.8515625" style="1" customWidth="1"/>
    <col min="17" max="20" width="12.140625" style="1" customWidth="1"/>
    <col min="21" max="21" width="13.8515625" style="1" customWidth="1"/>
    <col min="22" max="22" width="10.421875" style="1" customWidth="1"/>
    <col min="23" max="23" width="38.57421875" style="1" bestFit="1" customWidth="1"/>
    <col min="24" max="24" width="10.421875" style="1" customWidth="1"/>
    <col min="25" max="28" width="11.28125" style="1" customWidth="1"/>
    <col min="29" max="29" width="11.00390625" style="1" customWidth="1"/>
    <col min="30" max="30" width="14.7109375" style="1" customWidth="1"/>
    <col min="31" max="31" width="8.140625" style="1" customWidth="1"/>
    <col min="32" max="16384" width="9.140625" style="1" customWidth="1"/>
  </cols>
  <sheetData>
    <row r="1" ht="12.75" customHeight="1"/>
    <row r="2" spans="2:29" ht="12.75" customHeight="1">
      <c r="B2" s="31" t="s">
        <v>41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2"/>
    </row>
    <row r="3" spans="2:22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9" ht="12.75" customHeight="1">
      <c r="B4" s="31" t="s">
        <v>42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2"/>
      <c r="W4" s="31"/>
      <c r="X4" s="31"/>
      <c r="Y4" s="31"/>
      <c r="Z4" s="31"/>
      <c r="AA4" s="31"/>
      <c r="AB4" s="31"/>
      <c r="AC4" s="31"/>
    </row>
    <row r="5" ht="12.75" customHeight="1">
      <c r="V5" s="2"/>
    </row>
    <row r="6" ht="12.75" customHeight="1" thickBot="1">
      <c r="V6" s="2"/>
    </row>
    <row r="7" spans="2:30" ht="21" customHeight="1" thickBot="1">
      <c r="B7" s="361" t="s">
        <v>43</v>
      </c>
      <c r="C7" s="363" t="s">
        <v>44</v>
      </c>
      <c r="D7" s="364"/>
      <c r="E7" s="364"/>
      <c r="F7" s="364"/>
      <c r="G7" s="364"/>
      <c r="H7" s="364"/>
      <c r="I7" s="364"/>
      <c r="J7" s="364"/>
      <c r="K7" s="364"/>
      <c r="L7" s="364"/>
      <c r="M7" s="365"/>
      <c r="N7" s="365"/>
      <c r="O7" s="365"/>
      <c r="P7" s="365"/>
      <c r="Q7" s="365"/>
      <c r="R7" s="365"/>
      <c r="S7" s="365"/>
      <c r="T7" s="365"/>
      <c r="U7" s="366"/>
      <c r="V7" s="2"/>
      <c r="W7"/>
      <c r="X7"/>
      <c r="Y7"/>
      <c r="Z7"/>
      <c r="AA7"/>
      <c r="AB7"/>
      <c r="AC7"/>
      <c r="AD7"/>
    </row>
    <row r="8" spans="2:30" ht="31.5" customHeight="1" thickBot="1">
      <c r="B8" s="362"/>
      <c r="C8" s="14" t="s">
        <v>45</v>
      </c>
      <c r="D8" s="14" t="s">
        <v>46</v>
      </c>
      <c r="E8" s="14" t="s">
        <v>104</v>
      </c>
      <c r="F8" s="41" t="s">
        <v>396</v>
      </c>
      <c r="G8" s="50" t="s">
        <v>429</v>
      </c>
      <c r="H8" s="50" t="s">
        <v>432</v>
      </c>
      <c r="I8" s="50" t="s">
        <v>542</v>
      </c>
      <c r="J8" s="50" t="s">
        <v>543</v>
      </c>
      <c r="K8" s="309" t="s">
        <v>549</v>
      </c>
      <c r="L8" s="50" t="s">
        <v>550</v>
      </c>
      <c r="M8" s="50" t="s">
        <v>551</v>
      </c>
      <c r="N8" s="50" t="s">
        <v>544</v>
      </c>
      <c r="O8" s="50" t="s">
        <v>545</v>
      </c>
      <c r="P8" s="50" t="s">
        <v>546</v>
      </c>
      <c r="Q8" s="50" t="s">
        <v>547</v>
      </c>
      <c r="R8" s="50" t="s">
        <v>548</v>
      </c>
      <c r="S8" s="310" t="s">
        <v>552</v>
      </c>
      <c r="T8" s="310" t="s">
        <v>553</v>
      </c>
      <c r="U8" s="310" t="s">
        <v>554</v>
      </c>
      <c r="V8" s="2"/>
      <c r="W8"/>
      <c r="X8"/>
      <c r="Y8"/>
      <c r="Z8"/>
      <c r="AA8"/>
      <c r="AB8"/>
      <c r="AC8"/>
      <c r="AD8"/>
    </row>
    <row r="9" spans="2:31" ht="15" customHeight="1">
      <c r="B9" s="351" t="s">
        <v>534</v>
      </c>
      <c r="C9" s="312">
        <v>89</v>
      </c>
      <c r="D9" s="313">
        <v>7</v>
      </c>
      <c r="E9" s="313">
        <v>122</v>
      </c>
      <c r="F9" s="314">
        <v>0</v>
      </c>
      <c r="G9" s="177" t="s">
        <v>40</v>
      </c>
      <c r="H9" s="188">
        <v>6</v>
      </c>
      <c r="I9" s="188" t="s">
        <v>40</v>
      </c>
      <c r="J9" s="188" t="s">
        <v>40</v>
      </c>
      <c r="K9" s="188" t="s">
        <v>40</v>
      </c>
      <c r="L9" s="188" t="s">
        <v>40</v>
      </c>
      <c r="M9" s="188" t="s">
        <v>40</v>
      </c>
      <c r="N9" s="188" t="s">
        <v>40</v>
      </c>
      <c r="O9" s="188" t="s">
        <v>40</v>
      </c>
      <c r="P9" s="188" t="s">
        <v>40</v>
      </c>
      <c r="Q9" s="188" t="s">
        <v>40</v>
      </c>
      <c r="R9" s="188" t="s">
        <v>40</v>
      </c>
      <c r="S9" s="188" t="s">
        <v>40</v>
      </c>
      <c r="T9" s="188" t="s">
        <v>40</v>
      </c>
      <c r="U9" s="315">
        <f>SUM(C9:T9)</f>
        <v>224</v>
      </c>
      <c r="V9" s="2"/>
      <c r="W9"/>
      <c r="X9"/>
      <c r="Y9"/>
      <c r="Z9"/>
      <c r="AA9"/>
      <c r="AB9"/>
      <c r="AC9"/>
      <c r="AD9"/>
      <c r="AE9" s="15"/>
    </row>
    <row r="10" spans="2:31" ht="15" customHeight="1">
      <c r="B10" s="352" t="s">
        <v>535</v>
      </c>
      <c r="C10" s="316">
        <v>1727</v>
      </c>
      <c r="D10" s="317">
        <v>0</v>
      </c>
      <c r="E10" s="317">
        <v>0</v>
      </c>
      <c r="F10" s="318">
        <v>0</v>
      </c>
      <c r="G10" s="317">
        <v>0</v>
      </c>
      <c r="H10" s="319">
        <v>3</v>
      </c>
      <c r="I10" s="278" t="s">
        <v>40</v>
      </c>
      <c r="J10" s="278" t="s">
        <v>40</v>
      </c>
      <c r="K10" s="278" t="s">
        <v>40</v>
      </c>
      <c r="L10" s="278" t="s">
        <v>40</v>
      </c>
      <c r="M10" s="278" t="s">
        <v>40</v>
      </c>
      <c r="N10" s="278" t="s">
        <v>40</v>
      </c>
      <c r="O10" s="278" t="s">
        <v>40</v>
      </c>
      <c r="P10" s="278" t="s">
        <v>40</v>
      </c>
      <c r="Q10" s="278" t="s">
        <v>40</v>
      </c>
      <c r="R10" s="278" t="s">
        <v>40</v>
      </c>
      <c r="S10" s="278" t="s">
        <v>40</v>
      </c>
      <c r="T10" s="278" t="s">
        <v>40</v>
      </c>
      <c r="U10" s="315">
        <f aca="true" t="shared" si="0" ref="U10:U20">SUM(C10:T10)</f>
        <v>1730</v>
      </c>
      <c r="V10" s="2"/>
      <c r="W10"/>
      <c r="X10"/>
      <c r="Y10"/>
      <c r="Z10"/>
      <c r="AA10"/>
      <c r="AB10"/>
      <c r="AC10"/>
      <c r="AD10"/>
      <c r="AE10" s="15"/>
    </row>
    <row r="11" spans="2:31" ht="15" customHeight="1">
      <c r="B11" s="168" t="s">
        <v>49</v>
      </c>
      <c r="C11" s="316">
        <v>35852</v>
      </c>
      <c r="D11" s="317">
        <v>9324</v>
      </c>
      <c r="E11" s="317">
        <v>9072</v>
      </c>
      <c r="F11" s="318">
        <v>6096</v>
      </c>
      <c r="G11" s="317">
        <v>4893</v>
      </c>
      <c r="H11" s="319">
        <v>4052</v>
      </c>
      <c r="I11" s="320">
        <v>222</v>
      </c>
      <c r="J11" s="315">
        <v>202</v>
      </c>
      <c r="K11" s="315">
        <v>155</v>
      </c>
      <c r="L11" s="321">
        <v>328</v>
      </c>
      <c r="M11" s="322">
        <v>310</v>
      </c>
      <c r="N11" s="322">
        <v>401</v>
      </c>
      <c r="O11" s="322">
        <v>385</v>
      </c>
      <c r="P11" s="322">
        <v>318</v>
      </c>
      <c r="Q11" s="322">
        <v>330</v>
      </c>
      <c r="R11" s="322">
        <v>313</v>
      </c>
      <c r="S11" s="322">
        <v>382</v>
      </c>
      <c r="T11" s="322">
        <v>279</v>
      </c>
      <c r="U11" s="315">
        <f t="shared" si="0"/>
        <v>72914</v>
      </c>
      <c r="V11" s="2"/>
      <c r="W11"/>
      <c r="X11"/>
      <c r="Y11"/>
      <c r="Z11"/>
      <c r="AA11"/>
      <c r="AB11"/>
      <c r="AC11"/>
      <c r="AD11"/>
      <c r="AE11" s="15"/>
    </row>
    <row r="12" spans="2:31" ht="15" customHeight="1">
      <c r="B12" s="168" t="s">
        <v>50</v>
      </c>
      <c r="C12" s="316">
        <v>243</v>
      </c>
      <c r="D12" s="317">
        <v>54</v>
      </c>
      <c r="E12" s="317">
        <v>60</v>
      </c>
      <c r="F12" s="318">
        <v>82</v>
      </c>
      <c r="G12" s="317">
        <v>80</v>
      </c>
      <c r="H12" s="319">
        <v>65</v>
      </c>
      <c r="I12" s="320">
        <v>4</v>
      </c>
      <c r="J12" s="315">
        <v>1</v>
      </c>
      <c r="K12" s="315">
        <v>1</v>
      </c>
      <c r="L12" s="321">
        <v>1</v>
      </c>
      <c r="M12" s="322">
        <v>5</v>
      </c>
      <c r="N12" s="322">
        <v>0</v>
      </c>
      <c r="O12" s="322">
        <v>4</v>
      </c>
      <c r="P12" s="322">
        <v>1</v>
      </c>
      <c r="Q12" s="322">
        <v>5</v>
      </c>
      <c r="R12" s="322">
        <v>6</v>
      </c>
      <c r="S12" s="322">
        <v>1</v>
      </c>
      <c r="T12" s="322">
        <v>0</v>
      </c>
      <c r="U12" s="315">
        <f t="shared" si="0"/>
        <v>613</v>
      </c>
      <c r="V12" s="2"/>
      <c r="W12"/>
      <c r="X12"/>
      <c r="Y12"/>
      <c r="Z12"/>
      <c r="AA12"/>
      <c r="AB12"/>
      <c r="AC12"/>
      <c r="AD12"/>
      <c r="AE12" s="15"/>
    </row>
    <row r="13" spans="2:31" ht="15" customHeight="1">
      <c r="B13" s="352" t="s">
        <v>536</v>
      </c>
      <c r="C13" s="323" t="s">
        <v>40</v>
      </c>
      <c r="D13" s="317" t="s">
        <v>40</v>
      </c>
      <c r="E13" s="317" t="s">
        <v>40</v>
      </c>
      <c r="F13" s="318" t="s">
        <v>40</v>
      </c>
      <c r="G13" s="178" t="s">
        <v>40</v>
      </c>
      <c r="H13" s="178" t="s">
        <v>40</v>
      </c>
      <c r="I13" s="191" t="s">
        <v>40</v>
      </c>
      <c r="J13" s="178" t="s">
        <v>40</v>
      </c>
      <c r="K13" s="178" t="s">
        <v>40</v>
      </c>
      <c r="L13" s="178" t="s">
        <v>40</v>
      </c>
      <c r="M13" s="250" t="s">
        <v>40</v>
      </c>
      <c r="N13" s="250" t="s">
        <v>40</v>
      </c>
      <c r="O13" s="250" t="s">
        <v>40</v>
      </c>
      <c r="P13" s="250" t="s">
        <v>40</v>
      </c>
      <c r="Q13" s="250" t="s">
        <v>40</v>
      </c>
      <c r="R13" s="249" t="s">
        <v>40</v>
      </c>
      <c r="S13" s="249" t="s">
        <v>40</v>
      </c>
      <c r="T13" s="249" t="s">
        <v>40</v>
      </c>
      <c r="U13" s="196" t="s">
        <v>40</v>
      </c>
      <c r="V13" s="2"/>
      <c r="W13"/>
      <c r="X13"/>
      <c r="Y13"/>
      <c r="Z13"/>
      <c r="AA13"/>
      <c r="AB13"/>
      <c r="AC13"/>
      <c r="AD13"/>
      <c r="AE13" s="15"/>
    </row>
    <row r="14" spans="2:31" ht="15" customHeight="1">
      <c r="B14" s="352" t="s">
        <v>537</v>
      </c>
      <c r="C14" s="323" t="s">
        <v>40</v>
      </c>
      <c r="D14" s="317" t="s">
        <v>40</v>
      </c>
      <c r="E14" s="317" t="s">
        <v>40</v>
      </c>
      <c r="F14" s="318" t="s">
        <v>40</v>
      </c>
      <c r="G14" s="178" t="s">
        <v>40</v>
      </c>
      <c r="H14" s="178" t="s">
        <v>40</v>
      </c>
      <c r="I14" s="191" t="s">
        <v>40</v>
      </c>
      <c r="J14" s="178" t="s">
        <v>40</v>
      </c>
      <c r="K14" s="178" t="s">
        <v>40</v>
      </c>
      <c r="L14" s="178" t="s">
        <v>40</v>
      </c>
      <c r="M14" s="250" t="s">
        <v>40</v>
      </c>
      <c r="N14" s="250" t="s">
        <v>40</v>
      </c>
      <c r="O14" s="250" t="s">
        <v>40</v>
      </c>
      <c r="P14" s="250" t="s">
        <v>40</v>
      </c>
      <c r="Q14" s="250" t="s">
        <v>40</v>
      </c>
      <c r="R14" s="249" t="s">
        <v>40</v>
      </c>
      <c r="S14" s="249" t="s">
        <v>40</v>
      </c>
      <c r="T14" s="249" t="s">
        <v>40</v>
      </c>
      <c r="U14" s="196" t="s">
        <v>40</v>
      </c>
      <c r="V14" s="2"/>
      <c r="W14"/>
      <c r="X14"/>
      <c r="Y14"/>
      <c r="Z14"/>
      <c r="AA14"/>
      <c r="AB14"/>
      <c r="AC14"/>
      <c r="AD14"/>
      <c r="AE14" s="15"/>
    </row>
    <row r="15" spans="2:31" ht="15" customHeight="1">
      <c r="B15" s="355" t="s">
        <v>555</v>
      </c>
      <c r="C15" s="316">
        <v>31</v>
      </c>
      <c r="D15" s="317">
        <v>5</v>
      </c>
      <c r="E15" s="317">
        <v>14</v>
      </c>
      <c r="F15" s="318">
        <v>5</v>
      </c>
      <c r="G15" s="317">
        <v>15</v>
      </c>
      <c r="H15" s="319">
        <v>15</v>
      </c>
      <c r="I15" s="191" t="s">
        <v>40</v>
      </c>
      <c r="J15" s="178" t="s">
        <v>40</v>
      </c>
      <c r="K15" s="178" t="s">
        <v>40</v>
      </c>
      <c r="L15" s="178" t="s">
        <v>40</v>
      </c>
      <c r="M15" s="250" t="s">
        <v>40</v>
      </c>
      <c r="N15" s="250" t="s">
        <v>40</v>
      </c>
      <c r="O15" s="250" t="s">
        <v>40</v>
      </c>
      <c r="P15" s="250" t="s">
        <v>40</v>
      </c>
      <c r="Q15" s="250" t="s">
        <v>40</v>
      </c>
      <c r="R15" s="249" t="s">
        <v>40</v>
      </c>
      <c r="S15" s="249" t="s">
        <v>40</v>
      </c>
      <c r="T15" s="249" t="s">
        <v>40</v>
      </c>
      <c r="U15" s="315">
        <f t="shared" si="0"/>
        <v>85</v>
      </c>
      <c r="V15" s="2"/>
      <c r="W15"/>
      <c r="X15"/>
      <c r="Y15"/>
      <c r="Z15"/>
      <c r="AA15"/>
      <c r="AB15"/>
      <c r="AC15"/>
      <c r="AD15"/>
      <c r="AE15" s="15"/>
    </row>
    <row r="16" spans="2:31" ht="15" customHeight="1">
      <c r="B16" s="168" t="s">
        <v>54</v>
      </c>
      <c r="C16" s="316">
        <v>757</v>
      </c>
      <c r="D16" s="317">
        <v>171</v>
      </c>
      <c r="E16" s="317">
        <v>155</v>
      </c>
      <c r="F16" s="318">
        <v>169</v>
      </c>
      <c r="G16" s="317">
        <v>167</v>
      </c>
      <c r="H16" s="319">
        <v>165</v>
      </c>
      <c r="I16" s="320">
        <v>8</v>
      </c>
      <c r="J16" s="315">
        <v>16</v>
      </c>
      <c r="K16" s="315">
        <v>7</v>
      </c>
      <c r="L16" s="321">
        <v>7</v>
      </c>
      <c r="M16" s="322">
        <v>6</v>
      </c>
      <c r="N16" s="322">
        <v>5</v>
      </c>
      <c r="O16" s="322">
        <v>3</v>
      </c>
      <c r="P16" s="322">
        <v>2</v>
      </c>
      <c r="Q16" s="322">
        <v>5</v>
      </c>
      <c r="R16" s="322">
        <v>11</v>
      </c>
      <c r="S16" s="322">
        <v>4</v>
      </c>
      <c r="T16" s="322">
        <v>7</v>
      </c>
      <c r="U16" s="315">
        <f t="shared" si="0"/>
        <v>1665</v>
      </c>
      <c r="V16" s="2"/>
      <c r="W16"/>
      <c r="X16"/>
      <c r="Y16"/>
      <c r="Z16"/>
      <c r="AA16"/>
      <c r="AB16"/>
      <c r="AC16"/>
      <c r="AD16"/>
      <c r="AE16" s="15"/>
    </row>
    <row r="17" spans="2:31" ht="15" customHeight="1">
      <c r="B17" s="168" t="s">
        <v>55</v>
      </c>
      <c r="C17" s="316">
        <v>501</v>
      </c>
      <c r="D17" s="317">
        <v>152</v>
      </c>
      <c r="E17" s="317">
        <v>161</v>
      </c>
      <c r="F17" s="318">
        <v>252</v>
      </c>
      <c r="G17" s="317">
        <v>215</v>
      </c>
      <c r="H17" s="319">
        <v>224</v>
      </c>
      <c r="I17" s="320">
        <v>21</v>
      </c>
      <c r="J17" s="315">
        <v>14</v>
      </c>
      <c r="K17" s="315">
        <v>11</v>
      </c>
      <c r="L17" s="321">
        <v>17</v>
      </c>
      <c r="M17" s="322">
        <v>20</v>
      </c>
      <c r="N17" s="322">
        <v>17</v>
      </c>
      <c r="O17" s="322">
        <v>18</v>
      </c>
      <c r="P17" s="322">
        <v>23</v>
      </c>
      <c r="Q17" s="322">
        <v>22</v>
      </c>
      <c r="R17" s="322">
        <v>15</v>
      </c>
      <c r="S17" s="322">
        <v>20</v>
      </c>
      <c r="T17" s="322">
        <v>14</v>
      </c>
      <c r="U17" s="315">
        <f t="shared" si="0"/>
        <v>1717</v>
      </c>
      <c r="V17" s="2"/>
      <c r="W17"/>
      <c r="X17"/>
      <c r="Y17"/>
      <c r="Z17"/>
      <c r="AA17"/>
      <c r="AB17"/>
      <c r="AC17"/>
      <c r="AD17"/>
      <c r="AE17" s="15"/>
    </row>
    <row r="18" spans="2:31" ht="15" customHeight="1">
      <c r="B18" s="353" t="s">
        <v>538</v>
      </c>
      <c r="C18" s="354" t="s">
        <v>40</v>
      </c>
      <c r="D18" s="354" t="s">
        <v>40</v>
      </c>
      <c r="E18" s="354" t="s">
        <v>40</v>
      </c>
      <c r="F18" s="354" t="s">
        <v>40</v>
      </c>
      <c r="G18" s="354" t="s">
        <v>40</v>
      </c>
      <c r="H18" s="354" t="s">
        <v>40</v>
      </c>
      <c r="I18" s="354" t="s">
        <v>40</v>
      </c>
      <c r="J18" s="354" t="s">
        <v>40</v>
      </c>
      <c r="K18" s="354" t="s">
        <v>40</v>
      </c>
      <c r="L18" s="354" t="s">
        <v>40</v>
      </c>
      <c r="M18" s="354" t="s">
        <v>40</v>
      </c>
      <c r="N18" s="354" t="s">
        <v>40</v>
      </c>
      <c r="O18" s="354" t="s">
        <v>40</v>
      </c>
      <c r="P18" s="354" t="s">
        <v>40</v>
      </c>
      <c r="Q18" s="354" t="s">
        <v>40</v>
      </c>
      <c r="R18" s="354" t="s">
        <v>40</v>
      </c>
      <c r="S18" s="354" t="s">
        <v>40</v>
      </c>
      <c r="T18" s="354" t="s">
        <v>40</v>
      </c>
      <c r="U18" s="196" t="s">
        <v>40</v>
      </c>
      <c r="V18" s="2"/>
      <c r="W18"/>
      <c r="X18"/>
      <c r="Y18"/>
      <c r="Z18"/>
      <c r="AA18"/>
      <c r="AB18"/>
      <c r="AC18"/>
      <c r="AD18"/>
      <c r="AE18" s="15"/>
    </row>
    <row r="19" spans="2:31" ht="15" customHeight="1" thickBot="1">
      <c r="B19" s="169" t="s">
        <v>57</v>
      </c>
      <c r="C19" s="324">
        <v>7311</v>
      </c>
      <c r="D19" s="325">
        <v>968</v>
      </c>
      <c r="E19" s="325">
        <v>2791</v>
      </c>
      <c r="F19" s="326">
        <v>2476</v>
      </c>
      <c r="G19" s="325">
        <v>3631</v>
      </c>
      <c r="H19" s="319">
        <v>2377</v>
      </c>
      <c r="I19" s="320">
        <v>203</v>
      </c>
      <c r="J19" s="315">
        <v>143</v>
      </c>
      <c r="K19" s="327">
        <v>139</v>
      </c>
      <c r="L19" s="321">
        <v>86</v>
      </c>
      <c r="M19" s="328">
        <v>100</v>
      </c>
      <c r="N19" s="328">
        <v>81</v>
      </c>
      <c r="O19" s="329">
        <v>0</v>
      </c>
      <c r="P19" s="329">
        <v>0</v>
      </c>
      <c r="Q19" s="329">
        <v>0</v>
      </c>
      <c r="R19" s="330" t="s">
        <v>40</v>
      </c>
      <c r="S19" s="330" t="s">
        <v>40</v>
      </c>
      <c r="T19" s="330" t="s">
        <v>40</v>
      </c>
      <c r="U19" s="315">
        <f t="shared" si="0"/>
        <v>20306</v>
      </c>
      <c r="V19" s="2"/>
      <c r="W19"/>
      <c r="X19"/>
      <c r="Y19"/>
      <c r="Z19"/>
      <c r="AA19"/>
      <c r="AB19"/>
      <c r="AC19"/>
      <c r="AD19"/>
      <c r="AE19" s="15"/>
    </row>
    <row r="20" spans="2:31" ht="21" customHeight="1" thickBot="1" thickTop="1">
      <c r="B20" s="350" t="s">
        <v>0</v>
      </c>
      <c r="C20" s="331">
        <f>SUM(C9:C19)</f>
        <v>46511</v>
      </c>
      <c r="D20" s="332">
        <f>SUM(D9:D19)</f>
        <v>10681</v>
      </c>
      <c r="E20" s="333">
        <f>SUM(E9:E19)</f>
        <v>12375</v>
      </c>
      <c r="F20" s="333">
        <f>SUM(F9:F19)</f>
        <v>9080</v>
      </c>
      <c r="G20" s="333">
        <f>SUM(G9:G19)</f>
        <v>9001</v>
      </c>
      <c r="H20" s="334">
        <f aca="true" t="shared" si="1" ref="H20:P20">SUM(H9:H19)</f>
        <v>6907</v>
      </c>
      <c r="I20" s="334">
        <f t="shared" si="1"/>
        <v>458</v>
      </c>
      <c r="J20" s="334">
        <f t="shared" si="1"/>
        <v>376</v>
      </c>
      <c r="K20" s="334">
        <f t="shared" si="1"/>
        <v>313</v>
      </c>
      <c r="L20" s="334">
        <f t="shared" si="1"/>
        <v>439</v>
      </c>
      <c r="M20" s="334">
        <f t="shared" si="1"/>
        <v>441</v>
      </c>
      <c r="N20" s="334">
        <f t="shared" si="1"/>
        <v>504</v>
      </c>
      <c r="O20" s="334">
        <f>SUM(O9:O19)</f>
        <v>410</v>
      </c>
      <c r="P20" s="334">
        <f t="shared" si="1"/>
        <v>344</v>
      </c>
      <c r="Q20" s="335">
        <f>SUM(Q9:Q19)</f>
        <v>362</v>
      </c>
      <c r="R20" s="335">
        <f>SUM(R9:R19)</f>
        <v>345</v>
      </c>
      <c r="S20" s="335">
        <f>SUM(S9:S19)</f>
        <v>407</v>
      </c>
      <c r="T20" s="335">
        <f>SUM(T9:T19)</f>
        <v>300</v>
      </c>
      <c r="U20" s="336">
        <f t="shared" si="0"/>
        <v>99254</v>
      </c>
      <c r="V20" s="2"/>
      <c r="W20"/>
      <c r="X20"/>
      <c r="Y20"/>
      <c r="Z20"/>
      <c r="AA20"/>
      <c r="AB20"/>
      <c r="AC20"/>
      <c r="AD20"/>
      <c r="AE20" s="16"/>
    </row>
    <row r="21" spans="2:22" ht="12.75">
      <c r="B21" s="4" t="s">
        <v>540</v>
      </c>
      <c r="V21" s="2"/>
    </row>
    <row r="22" spans="2:22" ht="12.75">
      <c r="B22" s="4" t="s">
        <v>541</v>
      </c>
      <c r="V22" s="2"/>
    </row>
    <row r="23" ht="12.75">
      <c r="V23" s="2"/>
    </row>
    <row r="24" spans="8:22" ht="12.75">
      <c r="H24" s="57" t="s">
        <v>105</v>
      </c>
      <c r="I24" s="57"/>
      <c r="J24" s="57"/>
      <c r="V24" s="2"/>
    </row>
    <row r="25" spans="2:29" ht="12.75">
      <c r="B25" s="31" t="s">
        <v>58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"/>
      <c r="W25" s="31"/>
      <c r="X25" s="31"/>
      <c r="Y25" s="31"/>
      <c r="Z25" s="31"/>
      <c r="AA25" s="31"/>
      <c r="AB25" s="31"/>
      <c r="AC25" s="31"/>
    </row>
    <row r="26" ht="12.75">
      <c r="V26" s="2"/>
    </row>
    <row r="27" ht="13.5" thickBot="1">
      <c r="V27" s="2"/>
    </row>
    <row r="28" spans="2:30" ht="21.75" customHeight="1" thickBot="1">
      <c r="B28" s="359" t="s">
        <v>43</v>
      </c>
      <c r="C28" s="363" t="s">
        <v>59</v>
      </c>
      <c r="D28" s="364"/>
      <c r="E28" s="364"/>
      <c r="F28" s="364"/>
      <c r="G28" s="364"/>
      <c r="H28" s="364"/>
      <c r="I28" s="364"/>
      <c r="J28" s="364"/>
      <c r="K28" s="364"/>
      <c r="L28" s="364"/>
      <c r="M28" s="365"/>
      <c r="N28" s="365"/>
      <c r="O28" s="365"/>
      <c r="P28" s="365"/>
      <c r="Q28" s="365"/>
      <c r="R28" s="365"/>
      <c r="S28" s="365"/>
      <c r="T28" s="365"/>
      <c r="U28" s="366"/>
      <c r="V28" s="2"/>
      <c r="W28"/>
      <c r="X28"/>
      <c r="Y28"/>
      <c r="Z28"/>
      <c r="AA28"/>
      <c r="AB28"/>
      <c r="AC28"/>
      <c r="AD28"/>
    </row>
    <row r="29" spans="2:30" ht="36.75" customHeight="1" thickBot="1">
      <c r="B29" s="360"/>
      <c r="C29" s="14" t="s">
        <v>45</v>
      </c>
      <c r="D29" s="14" t="s">
        <v>46</v>
      </c>
      <c r="E29" s="14" t="s">
        <v>104</v>
      </c>
      <c r="F29" s="30" t="s">
        <v>396</v>
      </c>
      <c r="G29" s="49" t="s">
        <v>429</v>
      </c>
      <c r="H29" s="49" t="s">
        <v>432</v>
      </c>
      <c r="I29" s="49" t="s">
        <v>542</v>
      </c>
      <c r="J29" s="49" t="s">
        <v>543</v>
      </c>
      <c r="K29" s="49" t="s">
        <v>549</v>
      </c>
      <c r="L29" s="49" t="s">
        <v>550</v>
      </c>
      <c r="M29" s="49" t="s">
        <v>551</v>
      </c>
      <c r="N29" s="276" t="s">
        <v>544</v>
      </c>
      <c r="O29" s="276" t="s">
        <v>545</v>
      </c>
      <c r="P29" s="276" t="s">
        <v>546</v>
      </c>
      <c r="Q29" s="276" t="s">
        <v>547</v>
      </c>
      <c r="R29" s="276" t="s">
        <v>548</v>
      </c>
      <c r="S29" s="308" t="s">
        <v>552</v>
      </c>
      <c r="T29" s="310" t="s">
        <v>553</v>
      </c>
      <c r="U29" s="42" t="s">
        <v>554</v>
      </c>
      <c r="W29"/>
      <c r="X29"/>
      <c r="Y29"/>
      <c r="Z29"/>
      <c r="AA29"/>
      <c r="AB29"/>
      <c r="AC29"/>
      <c r="AD29"/>
    </row>
    <row r="30" spans="2:30" ht="15" customHeight="1">
      <c r="B30" s="115" t="s">
        <v>47</v>
      </c>
      <c r="C30" s="125">
        <v>12997</v>
      </c>
      <c r="D30" s="313">
        <v>4439</v>
      </c>
      <c r="E30" s="313">
        <v>3826</v>
      </c>
      <c r="F30" s="313">
        <v>289</v>
      </c>
      <c r="G30" s="177" t="s">
        <v>40</v>
      </c>
      <c r="H30" s="337" t="s">
        <v>40</v>
      </c>
      <c r="I30" s="337" t="s">
        <v>40</v>
      </c>
      <c r="J30" s="337" t="s">
        <v>40</v>
      </c>
      <c r="K30" s="338" t="s">
        <v>40</v>
      </c>
      <c r="L30" s="337" t="s">
        <v>40</v>
      </c>
      <c r="M30" s="339" t="s">
        <v>40</v>
      </c>
      <c r="N30" s="196" t="s">
        <v>40</v>
      </c>
      <c r="O30" s="196" t="s">
        <v>40</v>
      </c>
      <c r="P30" s="196" t="s">
        <v>40</v>
      </c>
      <c r="Q30" s="196" t="s">
        <v>40</v>
      </c>
      <c r="R30" s="196" t="s">
        <v>40</v>
      </c>
      <c r="S30" s="196" t="s">
        <v>40</v>
      </c>
      <c r="T30" s="196" t="s">
        <v>40</v>
      </c>
      <c r="U30" s="315">
        <f>SUM(C30:T30)</f>
        <v>21551</v>
      </c>
      <c r="W30"/>
      <c r="X30"/>
      <c r="Y30"/>
      <c r="Z30"/>
      <c r="AA30"/>
      <c r="AB30"/>
      <c r="AC30"/>
      <c r="AD30"/>
    </row>
    <row r="31" spans="2:31" ht="15" customHeight="1">
      <c r="B31" s="116" t="s">
        <v>48</v>
      </c>
      <c r="C31" s="125">
        <v>61732</v>
      </c>
      <c r="D31" s="317">
        <v>5822</v>
      </c>
      <c r="E31" s="317">
        <v>5520</v>
      </c>
      <c r="F31" s="317">
        <v>8752</v>
      </c>
      <c r="G31" s="317">
        <v>8016</v>
      </c>
      <c r="H31" s="340">
        <v>6528</v>
      </c>
      <c r="I31" s="340">
        <f>67+126+84+88</f>
        <v>365</v>
      </c>
      <c r="J31" s="340">
        <f>60+91+57+72</f>
        <v>280</v>
      </c>
      <c r="K31" s="341">
        <v>191</v>
      </c>
      <c r="L31" s="340">
        <v>46</v>
      </c>
      <c r="M31" s="342">
        <v>39</v>
      </c>
      <c r="N31" s="342">
        <v>20</v>
      </c>
      <c r="O31" s="342">
        <v>12</v>
      </c>
      <c r="P31" s="342">
        <v>11</v>
      </c>
      <c r="Q31" s="342">
        <v>22</v>
      </c>
      <c r="R31" s="342">
        <v>9</v>
      </c>
      <c r="S31" s="342">
        <v>22</v>
      </c>
      <c r="T31" s="342">
        <v>17</v>
      </c>
      <c r="U31" s="315">
        <f aca="true" t="shared" si="2" ref="U31:U41">SUM(C31:T31)</f>
        <v>97404</v>
      </c>
      <c r="W31"/>
      <c r="X31"/>
      <c r="Y31"/>
      <c r="Z31"/>
      <c r="AA31"/>
      <c r="AB31"/>
      <c r="AC31"/>
      <c r="AD31"/>
      <c r="AE31" s="22"/>
    </row>
    <row r="32" spans="2:30" ht="15" customHeight="1">
      <c r="B32" s="116" t="s">
        <v>49</v>
      </c>
      <c r="C32" s="125">
        <v>266584</v>
      </c>
      <c r="D32" s="317">
        <v>59398</v>
      </c>
      <c r="E32" s="317">
        <v>54490</v>
      </c>
      <c r="F32" s="317">
        <v>97694</v>
      </c>
      <c r="G32" s="317">
        <v>81779</v>
      </c>
      <c r="H32" s="340">
        <v>63527</v>
      </c>
      <c r="I32" s="340">
        <f>982+1103+1069+1026</f>
        <v>4180</v>
      </c>
      <c r="J32" s="340">
        <f>773+742+904+828</f>
        <v>3247</v>
      </c>
      <c r="K32" s="341">
        <v>3116</v>
      </c>
      <c r="L32" s="340">
        <v>1133</v>
      </c>
      <c r="M32" s="342">
        <v>1016</v>
      </c>
      <c r="N32" s="342">
        <v>1381</v>
      </c>
      <c r="O32" s="342">
        <v>964</v>
      </c>
      <c r="P32" s="342">
        <v>812</v>
      </c>
      <c r="Q32" s="342">
        <v>997</v>
      </c>
      <c r="R32" s="342">
        <v>823</v>
      </c>
      <c r="S32" s="342">
        <v>786</v>
      </c>
      <c r="T32" s="342">
        <v>880</v>
      </c>
      <c r="U32" s="315">
        <f t="shared" si="2"/>
        <v>642807</v>
      </c>
      <c r="W32"/>
      <c r="X32"/>
      <c r="Y32"/>
      <c r="Z32"/>
      <c r="AA32"/>
      <c r="AB32"/>
      <c r="AC32"/>
      <c r="AD32"/>
    </row>
    <row r="33" spans="2:30" ht="15" customHeight="1">
      <c r="B33" s="116" t="s">
        <v>50</v>
      </c>
      <c r="C33" s="125">
        <v>40509</v>
      </c>
      <c r="D33" s="317">
        <v>11275</v>
      </c>
      <c r="E33" s="317">
        <v>11059</v>
      </c>
      <c r="F33" s="317">
        <v>19510</v>
      </c>
      <c r="G33" s="317">
        <v>16142</v>
      </c>
      <c r="H33" s="340">
        <v>12189</v>
      </c>
      <c r="I33" s="340">
        <f>164+180+263+226</f>
        <v>833</v>
      </c>
      <c r="J33" s="340">
        <f>218+160+183+135</f>
        <v>696</v>
      </c>
      <c r="K33" s="341">
        <v>515</v>
      </c>
      <c r="L33" s="340">
        <v>144</v>
      </c>
      <c r="M33" s="342">
        <v>92</v>
      </c>
      <c r="N33" s="342">
        <v>93</v>
      </c>
      <c r="O33" s="342">
        <v>117</v>
      </c>
      <c r="P33" s="342">
        <v>98</v>
      </c>
      <c r="Q33" s="342">
        <v>90</v>
      </c>
      <c r="R33" s="342">
        <v>71</v>
      </c>
      <c r="S33" s="342">
        <v>55</v>
      </c>
      <c r="T33" s="342">
        <v>99</v>
      </c>
      <c r="U33" s="315">
        <f t="shared" si="2"/>
        <v>113587</v>
      </c>
      <c r="W33"/>
      <c r="X33"/>
      <c r="Y33"/>
      <c r="Z33"/>
      <c r="AA33"/>
      <c r="AB33"/>
      <c r="AC33"/>
      <c r="AD33"/>
    </row>
    <row r="34" spans="2:30" ht="15" customHeight="1">
      <c r="B34" s="116" t="s">
        <v>51</v>
      </c>
      <c r="C34" s="125">
        <v>262754</v>
      </c>
      <c r="D34" s="317">
        <v>70221</v>
      </c>
      <c r="E34" s="317">
        <v>67723</v>
      </c>
      <c r="F34" s="317">
        <v>112254</v>
      </c>
      <c r="G34" s="317">
        <v>108610</v>
      </c>
      <c r="H34" s="340">
        <v>77147</v>
      </c>
      <c r="I34" s="340">
        <f>1181+1432+1853+2450</f>
        <v>6916</v>
      </c>
      <c r="J34" s="340">
        <f>1315+1204+1020+905</f>
        <v>4444</v>
      </c>
      <c r="K34" s="341">
        <v>4044</v>
      </c>
      <c r="L34" s="340">
        <v>1954</v>
      </c>
      <c r="M34" s="342">
        <v>1760</v>
      </c>
      <c r="N34" s="342">
        <v>1738</v>
      </c>
      <c r="O34" s="342">
        <v>1173</v>
      </c>
      <c r="P34" s="342">
        <v>874</v>
      </c>
      <c r="Q34" s="342">
        <v>887</v>
      </c>
      <c r="R34" s="342">
        <v>694</v>
      </c>
      <c r="S34" s="342">
        <v>634</v>
      </c>
      <c r="T34" s="342">
        <v>496</v>
      </c>
      <c r="U34" s="315">
        <f t="shared" si="2"/>
        <v>724323</v>
      </c>
      <c r="W34"/>
      <c r="X34"/>
      <c r="Y34"/>
      <c r="Z34"/>
      <c r="AA34"/>
      <c r="AB34"/>
      <c r="AC34"/>
      <c r="AD34"/>
    </row>
    <row r="35" spans="2:30" ht="15" customHeight="1">
      <c r="B35" s="116" t="s">
        <v>52</v>
      </c>
      <c r="C35" s="125">
        <v>209323</v>
      </c>
      <c r="D35" s="317">
        <v>42988</v>
      </c>
      <c r="E35" s="317">
        <v>44713</v>
      </c>
      <c r="F35" s="317">
        <v>71218</v>
      </c>
      <c r="G35" s="317">
        <v>62229</v>
      </c>
      <c r="H35" s="340">
        <v>52734</v>
      </c>
      <c r="I35" s="340">
        <f>563+691+744+845</f>
        <v>2843</v>
      </c>
      <c r="J35" s="340">
        <f>615+681+573+562</f>
        <v>2431</v>
      </c>
      <c r="K35" s="341">
        <v>2123</v>
      </c>
      <c r="L35" s="340">
        <v>1059</v>
      </c>
      <c r="M35" s="342">
        <v>940</v>
      </c>
      <c r="N35" s="342">
        <v>958</v>
      </c>
      <c r="O35" s="342">
        <v>615</v>
      </c>
      <c r="P35" s="342">
        <v>391</v>
      </c>
      <c r="Q35" s="342">
        <v>406</v>
      </c>
      <c r="R35" s="342">
        <v>387</v>
      </c>
      <c r="S35" s="342">
        <v>347</v>
      </c>
      <c r="T35" s="342">
        <v>314</v>
      </c>
      <c r="U35" s="315">
        <f t="shared" si="2"/>
        <v>496019</v>
      </c>
      <c r="W35"/>
      <c r="X35"/>
      <c r="Y35"/>
      <c r="Z35"/>
      <c r="AA35"/>
      <c r="AB35"/>
      <c r="AC35"/>
      <c r="AD35"/>
    </row>
    <row r="36" spans="2:30" ht="15" customHeight="1">
      <c r="B36" s="117" t="s">
        <v>53</v>
      </c>
      <c r="C36" s="125">
        <v>20609</v>
      </c>
      <c r="D36" s="317">
        <v>4576</v>
      </c>
      <c r="E36" s="317">
        <v>3994</v>
      </c>
      <c r="F36" s="317">
        <v>6290</v>
      </c>
      <c r="G36" s="317">
        <v>8288</v>
      </c>
      <c r="H36" s="340">
        <v>4486</v>
      </c>
      <c r="I36" s="340">
        <f>38+41+71+58</f>
        <v>208</v>
      </c>
      <c r="J36" s="340">
        <f>43+32+37+46</f>
        <v>158</v>
      </c>
      <c r="K36" s="341">
        <v>123</v>
      </c>
      <c r="L36" s="340">
        <v>45</v>
      </c>
      <c r="M36" s="342">
        <v>29</v>
      </c>
      <c r="N36" s="342">
        <v>47</v>
      </c>
      <c r="O36" s="342">
        <v>26</v>
      </c>
      <c r="P36" s="342">
        <v>22</v>
      </c>
      <c r="Q36" s="342">
        <v>19</v>
      </c>
      <c r="R36" s="342">
        <v>19</v>
      </c>
      <c r="S36" s="342">
        <v>18</v>
      </c>
      <c r="T36" s="342">
        <v>12</v>
      </c>
      <c r="U36" s="315">
        <f t="shared" si="2"/>
        <v>48969</v>
      </c>
      <c r="W36"/>
      <c r="X36"/>
      <c r="Y36"/>
      <c r="Z36"/>
      <c r="AA36"/>
      <c r="AB36"/>
      <c r="AC36"/>
      <c r="AD36"/>
    </row>
    <row r="37" spans="2:30" ht="15" customHeight="1">
      <c r="B37" s="116" t="s">
        <v>54</v>
      </c>
      <c r="C37" s="125">
        <v>97370</v>
      </c>
      <c r="D37" s="317">
        <v>24286</v>
      </c>
      <c r="E37" s="317">
        <v>23561</v>
      </c>
      <c r="F37" s="317">
        <v>38970</v>
      </c>
      <c r="G37" s="317">
        <v>37832</v>
      </c>
      <c r="H37" s="340">
        <v>27770</v>
      </c>
      <c r="I37" s="340">
        <f>338+369+414+424</f>
        <v>1545</v>
      </c>
      <c r="J37" s="340">
        <f>315+274+289+253</f>
        <v>1131</v>
      </c>
      <c r="K37" s="341">
        <v>921</v>
      </c>
      <c r="L37" s="340">
        <v>274</v>
      </c>
      <c r="M37" s="343">
        <v>146</v>
      </c>
      <c r="N37" s="343">
        <v>134</v>
      </c>
      <c r="O37" s="343">
        <v>191</v>
      </c>
      <c r="P37" s="343">
        <v>161</v>
      </c>
      <c r="Q37" s="343">
        <v>176</v>
      </c>
      <c r="R37" s="343">
        <v>115</v>
      </c>
      <c r="S37" s="343">
        <v>103</v>
      </c>
      <c r="T37" s="343">
        <v>171</v>
      </c>
      <c r="U37" s="315">
        <f t="shared" si="2"/>
        <v>254857</v>
      </c>
      <c r="W37"/>
      <c r="X37"/>
      <c r="Y37"/>
      <c r="Z37"/>
      <c r="AA37"/>
      <c r="AB37"/>
      <c r="AC37"/>
      <c r="AD37"/>
    </row>
    <row r="38" spans="2:30" ht="15" customHeight="1">
      <c r="B38" s="116" t="s">
        <v>55</v>
      </c>
      <c r="C38" s="125">
        <v>252779</v>
      </c>
      <c r="D38" s="317">
        <v>56483</v>
      </c>
      <c r="E38" s="317">
        <v>59483</v>
      </c>
      <c r="F38" s="317">
        <v>86041</v>
      </c>
      <c r="G38" s="317">
        <v>95860</v>
      </c>
      <c r="H38" s="340">
        <v>80388</v>
      </c>
      <c r="I38" s="340">
        <f>926+1006+1352+1336</f>
        <v>4620</v>
      </c>
      <c r="J38" s="340">
        <f>997+978+895+773</f>
        <v>3643</v>
      </c>
      <c r="K38" s="341">
        <v>3427</v>
      </c>
      <c r="L38" s="340">
        <v>1730</v>
      </c>
      <c r="M38" s="342">
        <v>1601</v>
      </c>
      <c r="N38" s="342">
        <v>2299</v>
      </c>
      <c r="O38" s="342">
        <v>1744</v>
      </c>
      <c r="P38" s="342">
        <v>1663</v>
      </c>
      <c r="Q38" s="342">
        <v>1919</v>
      </c>
      <c r="R38" s="342">
        <v>1737</v>
      </c>
      <c r="S38" s="342">
        <v>1559</v>
      </c>
      <c r="T38" s="342">
        <v>1209</v>
      </c>
      <c r="U38" s="315">
        <f t="shared" si="2"/>
        <v>658185</v>
      </c>
      <c r="W38"/>
      <c r="X38"/>
      <c r="Y38"/>
      <c r="Z38"/>
      <c r="AA38"/>
      <c r="AB38"/>
      <c r="AC38"/>
      <c r="AD38"/>
    </row>
    <row r="39" spans="2:30" ht="15" customHeight="1">
      <c r="B39" s="118" t="s">
        <v>56</v>
      </c>
      <c r="C39" s="125">
        <v>114861</v>
      </c>
      <c r="D39" s="317">
        <v>23329</v>
      </c>
      <c r="E39" s="317">
        <v>23377</v>
      </c>
      <c r="F39" s="317">
        <v>38335</v>
      </c>
      <c r="G39" s="317">
        <v>53831</v>
      </c>
      <c r="H39" s="340">
        <v>41506</v>
      </c>
      <c r="I39" s="340">
        <f>1118+1094+986+862</f>
        <v>4060</v>
      </c>
      <c r="J39" s="340">
        <f>990+918+697+507</f>
        <v>3112</v>
      </c>
      <c r="K39" s="341">
        <v>1648</v>
      </c>
      <c r="L39" s="340">
        <v>553</v>
      </c>
      <c r="M39" s="342">
        <v>382</v>
      </c>
      <c r="N39" s="342">
        <v>412</v>
      </c>
      <c r="O39" s="342">
        <v>440</v>
      </c>
      <c r="P39" s="342">
        <v>258</v>
      </c>
      <c r="Q39" s="342">
        <v>238</v>
      </c>
      <c r="R39" s="342">
        <v>245</v>
      </c>
      <c r="S39" s="342">
        <v>186</v>
      </c>
      <c r="T39" s="342">
        <v>226</v>
      </c>
      <c r="U39" s="315">
        <f t="shared" si="2"/>
        <v>306999</v>
      </c>
      <c r="W39"/>
      <c r="X39"/>
      <c r="Y39"/>
      <c r="Z39"/>
      <c r="AA39"/>
      <c r="AB39"/>
      <c r="AC39"/>
      <c r="AD39"/>
    </row>
    <row r="40" spans="2:30" ht="15" customHeight="1" thickBot="1">
      <c r="B40" s="118" t="s">
        <v>57</v>
      </c>
      <c r="C40" s="344" t="s">
        <v>40</v>
      </c>
      <c r="D40" s="345" t="s">
        <v>40</v>
      </c>
      <c r="E40" s="345" t="s">
        <v>40</v>
      </c>
      <c r="F40" s="345" t="s">
        <v>40</v>
      </c>
      <c r="G40" s="345" t="s">
        <v>40</v>
      </c>
      <c r="H40" s="346" t="s">
        <v>40</v>
      </c>
      <c r="I40" s="346" t="s">
        <v>40</v>
      </c>
      <c r="J40" s="346" t="s">
        <v>40</v>
      </c>
      <c r="K40" s="347" t="s">
        <v>40</v>
      </c>
      <c r="L40" s="346" t="s">
        <v>40</v>
      </c>
      <c r="M40" s="348" t="s">
        <v>40</v>
      </c>
      <c r="N40" s="349" t="s">
        <v>40</v>
      </c>
      <c r="O40" s="349" t="s">
        <v>40</v>
      </c>
      <c r="P40" s="349" t="s">
        <v>40</v>
      </c>
      <c r="Q40" s="349" t="s">
        <v>40</v>
      </c>
      <c r="R40" s="349" t="s">
        <v>40</v>
      </c>
      <c r="S40" s="349" t="s">
        <v>40</v>
      </c>
      <c r="T40" s="349" t="s">
        <v>40</v>
      </c>
      <c r="U40" s="196" t="s">
        <v>40</v>
      </c>
      <c r="W40"/>
      <c r="X40"/>
      <c r="Y40"/>
      <c r="Z40"/>
      <c r="AA40"/>
      <c r="AB40"/>
      <c r="AC40"/>
      <c r="AD40"/>
    </row>
    <row r="41" spans="2:30" ht="14.25" thickBot="1" thickTop="1">
      <c r="B41" s="350" t="s">
        <v>0</v>
      </c>
      <c r="C41" s="331">
        <f aca="true" t="shared" si="3" ref="C41:T41">SUM(C30:C40)</f>
        <v>1339518</v>
      </c>
      <c r="D41" s="332">
        <f t="shared" si="3"/>
        <v>302817</v>
      </c>
      <c r="E41" s="333">
        <f t="shared" si="3"/>
        <v>297746</v>
      </c>
      <c r="F41" s="333">
        <f t="shared" si="3"/>
        <v>479353</v>
      </c>
      <c r="G41" s="333">
        <f t="shared" si="3"/>
        <v>472587</v>
      </c>
      <c r="H41" s="334">
        <f t="shared" si="3"/>
        <v>366275</v>
      </c>
      <c r="I41" s="334">
        <f t="shared" si="3"/>
        <v>25570</v>
      </c>
      <c r="J41" s="334">
        <f t="shared" si="3"/>
        <v>19142</v>
      </c>
      <c r="K41" s="334">
        <f t="shared" si="3"/>
        <v>16108</v>
      </c>
      <c r="L41" s="334">
        <f t="shared" si="3"/>
        <v>6938</v>
      </c>
      <c r="M41" s="334">
        <f t="shared" si="3"/>
        <v>6005</v>
      </c>
      <c r="N41" s="334">
        <f t="shared" si="3"/>
        <v>7082</v>
      </c>
      <c r="O41" s="334">
        <f t="shared" si="3"/>
        <v>5282</v>
      </c>
      <c r="P41" s="334">
        <f t="shared" si="3"/>
        <v>4290</v>
      </c>
      <c r="Q41" s="335">
        <f t="shared" si="3"/>
        <v>4754</v>
      </c>
      <c r="R41" s="335">
        <f t="shared" si="3"/>
        <v>4100</v>
      </c>
      <c r="S41" s="335">
        <f t="shared" si="3"/>
        <v>3710</v>
      </c>
      <c r="T41" s="335">
        <f t="shared" si="3"/>
        <v>3424</v>
      </c>
      <c r="U41" s="336">
        <f t="shared" si="2"/>
        <v>3364701</v>
      </c>
      <c r="W41"/>
      <c r="X41"/>
      <c r="Y41"/>
      <c r="Z41"/>
      <c r="AA41"/>
      <c r="AB41"/>
      <c r="AC41"/>
      <c r="AD41"/>
    </row>
    <row r="42" spans="2:28" ht="12.75">
      <c r="B42" s="4" t="s">
        <v>539</v>
      </c>
      <c r="W42"/>
      <c r="X42"/>
      <c r="Y42"/>
      <c r="Z42"/>
      <c r="AA42"/>
      <c r="AB42"/>
    </row>
  </sheetData>
  <sheetProtection/>
  <mergeCells count="4">
    <mergeCell ref="B28:B29"/>
    <mergeCell ref="B7:B8"/>
    <mergeCell ref="C7:U7"/>
    <mergeCell ref="C28:U28"/>
  </mergeCells>
  <printOptions/>
  <pageMargins left="0.75" right="0.75" top="1" bottom="1" header="0.5" footer="0.5"/>
  <pageSetup horizontalDpi="600" verticalDpi="600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0">
    <pageSetUpPr fitToPage="1"/>
  </sheetPr>
  <dimension ref="B2:AM66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8515625" style="61" customWidth="1"/>
    <col min="2" max="2" width="60.8515625" style="61" customWidth="1"/>
    <col min="3" max="3" width="13.421875" style="61" customWidth="1"/>
    <col min="4" max="4" width="12.8515625" style="61" customWidth="1"/>
    <col min="5" max="5" width="16.140625" style="61" customWidth="1"/>
    <col min="6" max="6" width="13.421875" style="61" customWidth="1"/>
    <col min="7" max="7" width="12.140625" style="61" customWidth="1"/>
    <col min="8" max="8" width="17.00390625" style="61" customWidth="1"/>
    <col min="9" max="10" width="12.421875" style="61" customWidth="1"/>
    <col min="11" max="11" width="14.8515625" style="61" customWidth="1"/>
    <col min="12" max="12" width="12.8515625" style="61" customWidth="1"/>
    <col min="13" max="13" width="12.7109375" style="61" customWidth="1"/>
    <col min="14" max="14" width="16.28125" style="61" customWidth="1"/>
    <col min="15" max="15" width="12.140625" style="61" customWidth="1"/>
    <col min="16" max="16" width="13.140625" style="61" customWidth="1"/>
    <col min="17" max="17" width="16.28125" style="61" customWidth="1"/>
    <col min="18" max="18" width="14.57421875" style="61" customWidth="1"/>
    <col min="19" max="19" width="13.140625" style="61" customWidth="1"/>
    <col min="20" max="20" width="17.140625" style="61" customWidth="1"/>
    <col min="21" max="21" width="15.140625" style="61" customWidth="1"/>
    <col min="22" max="22" width="11.7109375" style="61" customWidth="1"/>
    <col min="23" max="23" width="16.7109375" style="61" customWidth="1"/>
    <col min="24" max="24" width="12.28125" style="61" customWidth="1"/>
    <col min="25" max="25" width="13.140625" style="61" customWidth="1"/>
    <col min="26" max="26" width="16.57421875" style="61" customWidth="1"/>
    <col min="27" max="27" width="14.7109375" style="61" customWidth="1"/>
    <col min="28" max="28" width="12.28125" style="61" customWidth="1"/>
    <col min="29" max="29" width="15.421875" style="61" customWidth="1"/>
    <col min="30" max="30" width="14.8515625" style="61" customWidth="1"/>
    <col min="31" max="31" width="12.28125" style="61" customWidth="1"/>
    <col min="32" max="32" width="15.421875" style="61" customWidth="1"/>
    <col min="33" max="33" width="13.8515625" style="61" customWidth="1"/>
    <col min="34" max="34" width="12.7109375" style="61" customWidth="1"/>
    <col min="35" max="35" width="14.8515625" style="61" customWidth="1"/>
    <col min="36" max="37" width="14.140625" style="61" customWidth="1"/>
    <col min="38" max="38" width="14.8515625" style="61" customWidth="1"/>
    <col min="39" max="16384" width="9.140625" style="61" customWidth="1"/>
  </cols>
  <sheetData>
    <row r="2" spans="2:10" ht="12.75">
      <c r="B2" s="397" t="s">
        <v>8</v>
      </c>
      <c r="C2" s="397"/>
      <c r="D2" s="397" t="s">
        <v>13</v>
      </c>
      <c r="E2" s="397"/>
      <c r="G2" s="29" t="s">
        <v>27</v>
      </c>
      <c r="J2" s="29" t="s">
        <v>23</v>
      </c>
    </row>
    <row r="3" spans="2:10" ht="12.75">
      <c r="B3" s="397" t="s">
        <v>9</v>
      </c>
      <c r="C3" s="397"/>
      <c r="D3" s="397" t="s">
        <v>14</v>
      </c>
      <c r="E3" s="397"/>
      <c r="G3" s="29" t="s">
        <v>19</v>
      </c>
      <c r="J3" s="29" t="s">
        <v>24</v>
      </c>
    </row>
    <row r="4" spans="2:10" ht="12.75">
      <c r="B4" s="397" t="s">
        <v>10</v>
      </c>
      <c r="C4" s="397"/>
      <c r="D4" s="397" t="s">
        <v>15</v>
      </c>
      <c r="E4" s="397"/>
      <c r="G4" s="29" t="s">
        <v>20</v>
      </c>
      <c r="J4" s="29" t="s">
        <v>5</v>
      </c>
    </row>
    <row r="5" spans="2:10" ht="12.75">
      <c r="B5" s="397" t="s">
        <v>11</v>
      </c>
      <c r="C5" s="397"/>
      <c r="D5" s="397" t="s">
        <v>16</v>
      </c>
      <c r="E5" s="397"/>
      <c r="G5" s="29" t="s">
        <v>21</v>
      </c>
      <c r="J5" s="29" t="s">
        <v>25</v>
      </c>
    </row>
    <row r="6" spans="2:10" ht="12.75">
      <c r="B6" s="397" t="s">
        <v>12</v>
      </c>
      <c r="C6" s="397"/>
      <c r="D6" s="397" t="s">
        <v>18</v>
      </c>
      <c r="E6" s="397"/>
      <c r="G6" s="29" t="s">
        <v>22</v>
      </c>
      <c r="J6" s="29" t="s">
        <v>26</v>
      </c>
    </row>
    <row r="9" spans="2:5" ht="12.75">
      <c r="B9" s="383" t="s">
        <v>41</v>
      </c>
      <c r="C9" s="383"/>
      <c r="D9" s="383"/>
      <c r="E9" s="383"/>
    </row>
    <row r="10" spans="2:5" ht="12.75">
      <c r="B10" s="73"/>
      <c r="C10" s="73"/>
      <c r="D10" s="73"/>
      <c r="E10" s="73"/>
    </row>
    <row r="11" spans="2:5" ht="12.75">
      <c r="B11" s="383" t="s">
        <v>64</v>
      </c>
      <c r="C11" s="383"/>
      <c r="D11" s="383"/>
      <c r="E11" s="383"/>
    </row>
    <row r="12" spans="2:5" ht="12.75">
      <c r="B12" s="73"/>
      <c r="C12" s="73"/>
      <c r="D12" s="73"/>
      <c r="E12" s="73"/>
    </row>
    <row r="13" spans="2:5" s="47" customFormat="1" ht="12.75">
      <c r="B13" s="383">
        <v>2016</v>
      </c>
      <c r="C13" s="383"/>
      <c r="D13" s="383"/>
      <c r="E13" s="383"/>
    </row>
    <row r="14" spans="2:5" s="47" customFormat="1" ht="13.5" thickBot="1">
      <c r="B14" s="4"/>
      <c r="C14" s="4"/>
      <c r="D14" s="4"/>
      <c r="E14" s="4"/>
    </row>
    <row r="15" spans="2:38" s="47" customFormat="1" ht="18" customHeight="1" thickBot="1">
      <c r="B15" s="377" t="s">
        <v>65</v>
      </c>
      <c r="C15" s="393" t="s">
        <v>7</v>
      </c>
      <c r="D15" s="394"/>
      <c r="E15" s="395"/>
      <c r="F15" s="393" t="s">
        <v>433</v>
      </c>
      <c r="G15" s="394"/>
      <c r="H15" s="395"/>
      <c r="I15" s="393" t="s">
        <v>434</v>
      </c>
      <c r="J15" s="394"/>
      <c r="K15" s="395"/>
      <c r="L15" s="393" t="s">
        <v>435</v>
      </c>
      <c r="M15" s="394"/>
      <c r="N15" s="395"/>
      <c r="O15" s="393" t="s">
        <v>436</v>
      </c>
      <c r="P15" s="394"/>
      <c r="Q15" s="395"/>
      <c r="R15" s="393" t="s">
        <v>437</v>
      </c>
      <c r="S15" s="394"/>
      <c r="T15" s="395"/>
      <c r="U15" s="393" t="s">
        <v>438</v>
      </c>
      <c r="V15" s="394"/>
      <c r="W15" s="395"/>
      <c r="X15" s="393" t="s">
        <v>439</v>
      </c>
      <c r="Y15" s="394"/>
      <c r="Z15" s="395"/>
      <c r="AA15" s="393" t="s">
        <v>440</v>
      </c>
      <c r="AB15" s="394"/>
      <c r="AC15" s="395"/>
      <c r="AD15" s="393" t="s">
        <v>441</v>
      </c>
      <c r="AE15" s="394"/>
      <c r="AF15" s="395"/>
      <c r="AG15" s="393" t="s">
        <v>442</v>
      </c>
      <c r="AH15" s="394"/>
      <c r="AI15" s="395"/>
      <c r="AJ15" s="393" t="s">
        <v>443</v>
      </c>
      <c r="AK15" s="394"/>
      <c r="AL15" s="395"/>
    </row>
    <row r="16" spans="2:38" s="47" customFormat="1" ht="12.75" customHeight="1">
      <c r="B16" s="378"/>
      <c r="C16" s="381" t="s">
        <v>66</v>
      </c>
      <c r="D16" s="381" t="s">
        <v>67</v>
      </c>
      <c r="E16" s="371"/>
      <c r="F16" s="381" t="s">
        <v>66</v>
      </c>
      <c r="G16" s="381" t="s">
        <v>67</v>
      </c>
      <c r="H16" s="371"/>
      <c r="I16" s="370" t="s">
        <v>66</v>
      </c>
      <c r="J16" s="381" t="s">
        <v>67</v>
      </c>
      <c r="K16" s="371"/>
      <c r="L16" s="367" t="s">
        <v>66</v>
      </c>
      <c r="M16" s="390" t="s">
        <v>67</v>
      </c>
      <c r="N16" s="391"/>
      <c r="O16" s="367" t="s">
        <v>66</v>
      </c>
      <c r="P16" s="390" t="s">
        <v>67</v>
      </c>
      <c r="Q16" s="391"/>
      <c r="R16" s="367" t="s">
        <v>66</v>
      </c>
      <c r="S16" s="390" t="s">
        <v>67</v>
      </c>
      <c r="T16" s="391"/>
      <c r="U16" s="367" t="s">
        <v>66</v>
      </c>
      <c r="V16" s="390" t="s">
        <v>67</v>
      </c>
      <c r="W16" s="391"/>
      <c r="X16" s="367" t="s">
        <v>66</v>
      </c>
      <c r="Y16" s="390" t="s">
        <v>67</v>
      </c>
      <c r="Z16" s="391"/>
      <c r="AA16" s="367" t="s">
        <v>66</v>
      </c>
      <c r="AB16" s="390" t="s">
        <v>67</v>
      </c>
      <c r="AC16" s="391"/>
      <c r="AD16" s="367" t="s">
        <v>66</v>
      </c>
      <c r="AE16" s="390" t="s">
        <v>67</v>
      </c>
      <c r="AF16" s="391"/>
      <c r="AG16" s="367" t="s">
        <v>66</v>
      </c>
      <c r="AH16" s="390" t="s">
        <v>67</v>
      </c>
      <c r="AI16" s="391"/>
      <c r="AJ16" s="367" t="s">
        <v>66</v>
      </c>
      <c r="AK16" s="390" t="s">
        <v>67</v>
      </c>
      <c r="AL16" s="391"/>
    </row>
    <row r="17" spans="2:38" s="47" customFormat="1" ht="12.75">
      <c r="B17" s="378"/>
      <c r="C17" s="388"/>
      <c r="D17" s="388"/>
      <c r="E17" s="389"/>
      <c r="F17" s="388"/>
      <c r="G17" s="388"/>
      <c r="H17" s="389"/>
      <c r="I17" s="392"/>
      <c r="J17" s="388"/>
      <c r="K17" s="389"/>
      <c r="L17" s="386"/>
      <c r="M17" s="392"/>
      <c r="N17" s="389"/>
      <c r="O17" s="386"/>
      <c r="P17" s="392"/>
      <c r="Q17" s="389"/>
      <c r="R17" s="386"/>
      <c r="S17" s="392"/>
      <c r="T17" s="389"/>
      <c r="U17" s="386"/>
      <c r="V17" s="392"/>
      <c r="W17" s="389"/>
      <c r="X17" s="386"/>
      <c r="Y17" s="392"/>
      <c r="Z17" s="389"/>
      <c r="AA17" s="386"/>
      <c r="AB17" s="392"/>
      <c r="AC17" s="389"/>
      <c r="AD17" s="386"/>
      <c r="AE17" s="392"/>
      <c r="AF17" s="389"/>
      <c r="AG17" s="386"/>
      <c r="AH17" s="392"/>
      <c r="AI17" s="389"/>
      <c r="AJ17" s="386"/>
      <c r="AK17" s="392"/>
      <c r="AL17" s="389"/>
    </row>
    <row r="18" spans="2:38" s="47" customFormat="1" ht="26.25" thickBot="1">
      <c r="B18" s="396"/>
      <c r="C18" s="262" t="s">
        <v>68</v>
      </c>
      <c r="D18" s="266" t="s">
        <v>69</v>
      </c>
      <c r="E18" s="75" t="s">
        <v>70</v>
      </c>
      <c r="F18" s="262" t="s">
        <v>68</v>
      </c>
      <c r="G18" s="94" t="s">
        <v>69</v>
      </c>
      <c r="H18" s="64" t="s">
        <v>70</v>
      </c>
      <c r="I18" s="263" t="s">
        <v>68</v>
      </c>
      <c r="J18" s="266" t="s">
        <v>69</v>
      </c>
      <c r="K18" s="75" t="s">
        <v>70</v>
      </c>
      <c r="L18" s="74" t="s">
        <v>68</v>
      </c>
      <c r="M18" s="253" t="s">
        <v>69</v>
      </c>
      <c r="N18" s="75" t="s">
        <v>70</v>
      </c>
      <c r="O18" s="74" t="s">
        <v>68</v>
      </c>
      <c r="P18" s="253" t="s">
        <v>69</v>
      </c>
      <c r="Q18" s="75" t="s">
        <v>70</v>
      </c>
      <c r="R18" s="74" t="s">
        <v>68</v>
      </c>
      <c r="S18" s="63" t="s">
        <v>69</v>
      </c>
      <c r="T18" s="64" t="s">
        <v>70</v>
      </c>
      <c r="U18" s="74" t="s">
        <v>68</v>
      </c>
      <c r="V18" s="63" t="s">
        <v>69</v>
      </c>
      <c r="W18" s="64" t="s">
        <v>70</v>
      </c>
      <c r="X18" s="74" t="s">
        <v>68</v>
      </c>
      <c r="Y18" s="63" t="s">
        <v>69</v>
      </c>
      <c r="Z18" s="64" t="s">
        <v>70</v>
      </c>
      <c r="AA18" s="74" t="s">
        <v>68</v>
      </c>
      <c r="AB18" s="63" t="s">
        <v>69</v>
      </c>
      <c r="AC18" s="64" t="s">
        <v>70</v>
      </c>
      <c r="AD18" s="74" t="s">
        <v>68</v>
      </c>
      <c r="AE18" s="63" t="s">
        <v>69</v>
      </c>
      <c r="AF18" s="64" t="s">
        <v>70</v>
      </c>
      <c r="AG18" s="74" t="s">
        <v>68</v>
      </c>
      <c r="AH18" s="63" t="s">
        <v>69</v>
      </c>
      <c r="AI18" s="64" t="s">
        <v>70</v>
      </c>
      <c r="AJ18" s="74" t="s">
        <v>68</v>
      </c>
      <c r="AK18" s="63" t="s">
        <v>69</v>
      </c>
      <c r="AL18" s="64" t="s">
        <v>70</v>
      </c>
    </row>
    <row r="19" spans="2:39" s="47" customFormat="1" ht="15" customHeight="1">
      <c r="B19" s="138" t="s">
        <v>71</v>
      </c>
      <c r="C19" s="256">
        <f aca="true" t="shared" si="0" ref="C19:K19">C75</f>
        <v>37</v>
      </c>
      <c r="D19" s="84">
        <f t="shared" si="0"/>
        <v>27</v>
      </c>
      <c r="E19" s="105">
        <f t="shared" si="0"/>
        <v>1240</v>
      </c>
      <c r="F19" s="264">
        <f t="shared" si="0"/>
        <v>22</v>
      </c>
      <c r="G19" s="84">
        <f t="shared" si="0"/>
        <v>23</v>
      </c>
      <c r="H19" s="105">
        <f t="shared" si="0"/>
        <v>981</v>
      </c>
      <c r="I19" s="264">
        <f t="shared" si="0"/>
        <v>24</v>
      </c>
      <c r="J19" s="84">
        <f t="shared" si="0"/>
        <v>13</v>
      </c>
      <c r="K19" s="105">
        <f t="shared" si="0"/>
        <v>666</v>
      </c>
      <c r="L19" s="264">
        <f aca="true" t="shared" si="1" ref="L19:T19">L75</f>
        <v>26</v>
      </c>
      <c r="M19" s="84">
        <f t="shared" si="1"/>
        <v>0</v>
      </c>
      <c r="N19" s="105">
        <f t="shared" si="1"/>
        <v>81</v>
      </c>
      <c r="O19" s="258">
        <f t="shared" si="1"/>
        <v>20</v>
      </c>
      <c r="P19" s="84">
        <f t="shared" si="1"/>
        <v>0</v>
      </c>
      <c r="Q19" s="105">
        <f t="shared" si="1"/>
        <v>128</v>
      </c>
      <c r="R19" s="258">
        <f t="shared" si="1"/>
        <v>30</v>
      </c>
      <c r="S19" s="84">
        <f t="shared" si="1"/>
        <v>0</v>
      </c>
      <c r="T19" s="105">
        <f t="shared" si="1"/>
        <v>155</v>
      </c>
      <c r="U19" s="177">
        <f aca="true" t="shared" si="2" ref="U19:Z19">U75</f>
        <v>24</v>
      </c>
      <c r="V19" s="177">
        <f t="shared" si="2"/>
        <v>0</v>
      </c>
      <c r="W19" s="278">
        <f t="shared" si="2"/>
        <v>145</v>
      </c>
      <c r="X19" s="177">
        <f t="shared" si="2"/>
        <v>31</v>
      </c>
      <c r="Y19" s="177">
        <f t="shared" si="2"/>
        <v>0</v>
      </c>
      <c r="Z19" s="278">
        <f t="shared" si="2"/>
        <v>134</v>
      </c>
      <c r="AA19" s="177">
        <f aca="true" t="shared" si="3" ref="AA19:AI19">AA75</f>
        <v>38</v>
      </c>
      <c r="AB19" s="84">
        <f t="shared" si="3"/>
        <v>0</v>
      </c>
      <c r="AC19" s="105">
        <f t="shared" si="3"/>
        <v>80</v>
      </c>
      <c r="AD19" s="177">
        <f t="shared" si="3"/>
        <v>25</v>
      </c>
      <c r="AE19" s="84">
        <f t="shared" si="3"/>
        <v>0</v>
      </c>
      <c r="AF19" s="105">
        <f t="shared" si="3"/>
        <v>156</v>
      </c>
      <c r="AG19" s="177">
        <f t="shared" si="3"/>
        <v>31</v>
      </c>
      <c r="AH19" s="84">
        <f t="shared" si="3"/>
        <v>0</v>
      </c>
      <c r="AI19" s="105">
        <f t="shared" si="3"/>
        <v>47</v>
      </c>
      <c r="AJ19" s="177">
        <f>AJ75</f>
        <v>11</v>
      </c>
      <c r="AK19" s="182">
        <f>AK75</f>
        <v>0</v>
      </c>
      <c r="AL19" s="183">
        <f>AL75</f>
        <v>41</v>
      </c>
      <c r="AM19" s="110"/>
    </row>
    <row r="20" spans="2:39" s="47" customFormat="1" ht="15" customHeight="1">
      <c r="B20" s="140" t="s">
        <v>72</v>
      </c>
      <c r="C20" s="249">
        <f aca="true" t="shared" si="4" ref="C20:AI20">C104</f>
        <v>11</v>
      </c>
      <c r="D20" s="184">
        <f t="shared" si="4"/>
        <v>5</v>
      </c>
      <c r="E20" s="108">
        <f t="shared" si="4"/>
        <v>147</v>
      </c>
      <c r="F20" s="258">
        <f t="shared" si="4"/>
        <v>4</v>
      </c>
      <c r="G20" s="184">
        <f t="shared" si="4"/>
        <v>2</v>
      </c>
      <c r="H20" s="108">
        <f t="shared" si="4"/>
        <v>165</v>
      </c>
      <c r="I20" s="258">
        <f t="shared" si="4"/>
        <v>3</v>
      </c>
      <c r="J20" s="184">
        <f t="shared" si="4"/>
        <v>1</v>
      </c>
      <c r="K20" s="108">
        <f t="shared" si="4"/>
        <v>112</v>
      </c>
      <c r="L20" s="258">
        <f t="shared" si="4"/>
        <v>17</v>
      </c>
      <c r="M20" s="184">
        <f t="shared" si="4"/>
        <v>0</v>
      </c>
      <c r="N20" s="108">
        <f t="shared" si="4"/>
        <v>0</v>
      </c>
      <c r="O20" s="258">
        <f t="shared" si="4"/>
        <v>10</v>
      </c>
      <c r="P20" s="184">
        <f t="shared" si="4"/>
        <v>0</v>
      </c>
      <c r="Q20" s="108">
        <f t="shared" si="4"/>
        <v>0</v>
      </c>
      <c r="R20" s="258">
        <f t="shared" si="4"/>
        <v>11</v>
      </c>
      <c r="S20" s="184">
        <f t="shared" si="4"/>
        <v>0</v>
      </c>
      <c r="T20" s="108">
        <f t="shared" si="4"/>
        <v>0</v>
      </c>
      <c r="U20" s="178">
        <f t="shared" si="4"/>
        <v>24</v>
      </c>
      <c r="V20" s="191">
        <f t="shared" si="4"/>
        <v>0</v>
      </c>
      <c r="W20" s="184">
        <f t="shared" si="4"/>
        <v>0</v>
      </c>
      <c r="X20" s="178">
        <f t="shared" si="4"/>
        <v>14</v>
      </c>
      <c r="Y20" s="191">
        <f t="shared" si="4"/>
        <v>0</v>
      </c>
      <c r="Z20" s="184">
        <f t="shared" si="4"/>
        <v>0</v>
      </c>
      <c r="AA20" s="178">
        <f t="shared" si="4"/>
        <v>18</v>
      </c>
      <c r="AB20" s="184">
        <f t="shared" si="4"/>
        <v>0</v>
      </c>
      <c r="AC20" s="108">
        <f t="shared" si="4"/>
        <v>0</v>
      </c>
      <c r="AD20" s="178">
        <f t="shared" si="4"/>
        <v>14</v>
      </c>
      <c r="AE20" s="184">
        <f t="shared" si="4"/>
        <v>0</v>
      </c>
      <c r="AF20" s="108">
        <f t="shared" si="4"/>
        <v>0</v>
      </c>
      <c r="AG20" s="178">
        <f t="shared" si="4"/>
        <v>20</v>
      </c>
      <c r="AH20" s="184">
        <f t="shared" si="4"/>
        <v>0</v>
      </c>
      <c r="AI20" s="108">
        <f t="shared" si="4"/>
        <v>0</v>
      </c>
      <c r="AJ20" s="196">
        <f>AJ104</f>
        <v>22</v>
      </c>
      <c r="AK20" s="107">
        <f>AK104</f>
        <v>0</v>
      </c>
      <c r="AL20" s="108">
        <f>AL104</f>
        <v>0</v>
      </c>
      <c r="AM20" s="110"/>
    </row>
    <row r="21" spans="2:39" s="47" customFormat="1" ht="15" customHeight="1">
      <c r="B21" s="140" t="s">
        <v>1</v>
      </c>
      <c r="C21" s="249">
        <f aca="true" t="shared" si="5" ref="C21:AI21">C137</f>
        <v>11</v>
      </c>
      <c r="D21" s="184">
        <f t="shared" si="5"/>
        <v>6</v>
      </c>
      <c r="E21" s="108">
        <f t="shared" si="5"/>
        <v>617</v>
      </c>
      <c r="F21" s="258">
        <f t="shared" si="5"/>
        <v>16</v>
      </c>
      <c r="G21" s="184">
        <f t="shared" si="5"/>
        <v>17</v>
      </c>
      <c r="H21" s="108">
        <f t="shared" si="5"/>
        <v>510</v>
      </c>
      <c r="I21" s="258">
        <f t="shared" si="5"/>
        <v>8</v>
      </c>
      <c r="J21" s="184">
        <f t="shared" si="5"/>
        <v>3</v>
      </c>
      <c r="K21" s="108">
        <f t="shared" si="5"/>
        <v>426</v>
      </c>
      <c r="L21" s="258">
        <f t="shared" si="5"/>
        <v>7</v>
      </c>
      <c r="M21" s="184">
        <f t="shared" si="5"/>
        <v>0</v>
      </c>
      <c r="N21" s="108">
        <f t="shared" si="5"/>
        <v>14</v>
      </c>
      <c r="O21" s="258">
        <f t="shared" si="5"/>
        <v>13</v>
      </c>
      <c r="P21" s="184">
        <f t="shared" si="5"/>
        <v>0</v>
      </c>
      <c r="Q21" s="108">
        <f t="shared" si="5"/>
        <v>13</v>
      </c>
      <c r="R21" s="258">
        <f t="shared" si="5"/>
        <v>3</v>
      </c>
      <c r="S21" s="184">
        <f t="shared" si="5"/>
        <v>0</v>
      </c>
      <c r="T21" s="108">
        <f t="shared" si="5"/>
        <v>19</v>
      </c>
      <c r="U21" s="178">
        <f t="shared" si="5"/>
        <v>15</v>
      </c>
      <c r="V21" s="191">
        <f t="shared" si="5"/>
        <v>0</v>
      </c>
      <c r="W21" s="184">
        <f t="shared" si="5"/>
        <v>28</v>
      </c>
      <c r="X21" s="178">
        <f t="shared" si="5"/>
        <v>12</v>
      </c>
      <c r="Y21" s="191">
        <f t="shared" si="5"/>
        <v>0</v>
      </c>
      <c r="Z21" s="184">
        <f t="shared" si="5"/>
        <v>11</v>
      </c>
      <c r="AA21" s="178">
        <f t="shared" si="5"/>
        <v>14</v>
      </c>
      <c r="AB21" s="184">
        <f t="shared" si="5"/>
        <v>0</v>
      </c>
      <c r="AC21" s="108">
        <f t="shared" si="5"/>
        <v>7</v>
      </c>
      <c r="AD21" s="178">
        <f t="shared" si="5"/>
        <v>18</v>
      </c>
      <c r="AE21" s="184">
        <f t="shared" si="5"/>
        <v>0</v>
      </c>
      <c r="AF21" s="108">
        <f t="shared" si="5"/>
        <v>8</v>
      </c>
      <c r="AG21" s="178">
        <f t="shared" si="5"/>
        <v>15</v>
      </c>
      <c r="AH21" s="184">
        <f t="shared" si="5"/>
        <v>0</v>
      </c>
      <c r="AI21" s="108">
        <f t="shared" si="5"/>
        <v>4</v>
      </c>
      <c r="AJ21" s="196">
        <f>AJ137</f>
        <v>17</v>
      </c>
      <c r="AK21" s="182">
        <f>AK137</f>
        <v>0</v>
      </c>
      <c r="AL21" s="183">
        <f>AL137</f>
        <v>3</v>
      </c>
      <c r="AM21" s="110"/>
    </row>
    <row r="22" spans="2:39" s="47" customFormat="1" ht="15" customHeight="1">
      <c r="B22" s="140" t="s">
        <v>73</v>
      </c>
      <c r="C22" s="250">
        <f aca="true" t="shared" si="6" ref="C22:AI22">C175</f>
        <v>35</v>
      </c>
      <c r="D22" s="184">
        <f t="shared" si="6"/>
        <v>16</v>
      </c>
      <c r="E22" s="108">
        <f t="shared" si="6"/>
        <v>1034</v>
      </c>
      <c r="F22" s="259">
        <f t="shared" si="6"/>
        <v>12</v>
      </c>
      <c r="G22" s="184">
        <f t="shared" si="6"/>
        <v>6</v>
      </c>
      <c r="H22" s="108">
        <f t="shared" si="6"/>
        <v>504</v>
      </c>
      <c r="I22" s="259">
        <f t="shared" si="6"/>
        <v>6</v>
      </c>
      <c r="J22" s="184">
        <f t="shared" si="6"/>
        <v>4</v>
      </c>
      <c r="K22" s="108">
        <f t="shared" si="6"/>
        <v>362</v>
      </c>
      <c r="L22" s="259">
        <f t="shared" si="6"/>
        <v>29</v>
      </c>
      <c r="M22" s="184">
        <f t="shared" si="6"/>
        <v>0</v>
      </c>
      <c r="N22" s="108">
        <f t="shared" si="6"/>
        <v>139</v>
      </c>
      <c r="O22" s="259">
        <f t="shared" si="6"/>
        <v>29</v>
      </c>
      <c r="P22" s="184">
        <f t="shared" si="6"/>
        <v>13</v>
      </c>
      <c r="Q22" s="108">
        <f t="shared" si="6"/>
        <v>696</v>
      </c>
      <c r="R22" s="259">
        <f t="shared" si="6"/>
        <v>17</v>
      </c>
      <c r="S22" s="184">
        <f t="shared" si="6"/>
        <v>0</v>
      </c>
      <c r="T22" s="108">
        <f t="shared" si="6"/>
        <v>110</v>
      </c>
      <c r="U22" s="178">
        <f t="shared" si="6"/>
        <v>24</v>
      </c>
      <c r="V22" s="191">
        <f t="shared" si="6"/>
        <v>0</v>
      </c>
      <c r="W22" s="184">
        <f t="shared" si="6"/>
        <v>100</v>
      </c>
      <c r="X22" s="178">
        <f t="shared" si="6"/>
        <v>24</v>
      </c>
      <c r="Y22" s="191">
        <f t="shared" si="6"/>
        <v>0</v>
      </c>
      <c r="Z22" s="184">
        <f t="shared" si="6"/>
        <v>28</v>
      </c>
      <c r="AA22" s="178">
        <f t="shared" si="6"/>
        <v>31</v>
      </c>
      <c r="AB22" s="184">
        <f t="shared" si="6"/>
        <v>0</v>
      </c>
      <c r="AC22" s="108">
        <f t="shared" si="6"/>
        <v>50</v>
      </c>
      <c r="AD22" s="178">
        <f t="shared" si="6"/>
        <v>37</v>
      </c>
      <c r="AE22" s="184">
        <f t="shared" si="6"/>
        <v>0</v>
      </c>
      <c r="AF22" s="108">
        <f t="shared" si="6"/>
        <v>54</v>
      </c>
      <c r="AG22" s="178">
        <f t="shared" si="6"/>
        <v>42</v>
      </c>
      <c r="AH22" s="184">
        <f t="shared" si="6"/>
        <v>0</v>
      </c>
      <c r="AI22" s="108">
        <f t="shared" si="6"/>
        <v>56</v>
      </c>
      <c r="AJ22" s="178">
        <f>AJ175</f>
        <v>31</v>
      </c>
      <c r="AK22" s="107">
        <f>AK175</f>
        <v>0</v>
      </c>
      <c r="AL22" s="108">
        <f>AL175</f>
        <v>39</v>
      </c>
      <c r="AM22" s="110"/>
    </row>
    <row r="23" spans="2:39" s="47" customFormat="1" ht="15" customHeight="1">
      <c r="B23" s="140" t="s">
        <v>74</v>
      </c>
      <c r="C23" s="250">
        <f aca="true" t="shared" si="7" ref="C23:AI23">C215</f>
        <v>271</v>
      </c>
      <c r="D23" s="184">
        <f t="shared" si="7"/>
        <v>84</v>
      </c>
      <c r="E23" s="108">
        <f t="shared" si="7"/>
        <v>7122</v>
      </c>
      <c r="F23" s="259">
        <f t="shared" si="7"/>
        <v>263</v>
      </c>
      <c r="G23" s="184">
        <f t="shared" si="7"/>
        <v>139</v>
      </c>
      <c r="H23" s="108">
        <f t="shared" si="7"/>
        <v>5130</v>
      </c>
      <c r="I23" s="259">
        <f t="shared" si="7"/>
        <v>206</v>
      </c>
      <c r="J23" s="184">
        <f t="shared" si="7"/>
        <v>44</v>
      </c>
      <c r="K23" s="108">
        <f t="shared" si="7"/>
        <v>2906</v>
      </c>
      <c r="L23" s="259">
        <f t="shared" si="7"/>
        <v>498</v>
      </c>
      <c r="M23" s="184">
        <f t="shared" si="7"/>
        <v>0</v>
      </c>
      <c r="N23" s="108">
        <f t="shared" si="7"/>
        <v>2738</v>
      </c>
      <c r="O23" s="259">
        <f t="shared" si="7"/>
        <v>538</v>
      </c>
      <c r="P23" s="184">
        <f t="shared" si="7"/>
        <v>0</v>
      </c>
      <c r="Q23" s="108">
        <f t="shared" si="7"/>
        <v>2860</v>
      </c>
      <c r="R23" s="259">
        <f t="shared" si="7"/>
        <v>561</v>
      </c>
      <c r="S23" s="184">
        <f t="shared" si="7"/>
        <v>0</v>
      </c>
      <c r="T23" s="108">
        <f t="shared" si="7"/>
        <v>2861</v>
      </c>
      <c r="U23" s="178">
        <f t="shared" si="7"/>
        <v>580</v>
      </c>
      <c r="V23" s="191">
        <f t="shared" si="7"/>
        <v>0</v>
      </c>
      <c r="W23" s="184">
        <f t="shared" si="7"/>
        <v>2347</v>
      </c>
      <c r="X23" s="178">
        <f t="shared" si="7"/>
        <v>556</v>
      </c>
      <c r="Y23" s="191">
        <f t="shared" si="7"/>
        <v>0</v>
      </c>
      <c r="Z23" s="184">
        <f t="shared" si="7"/>
        <v>2402</v>
      </c>
      <c r="AA23" s="178">
        <f t="shared" si="7"/>
        <v>513</v>
      </c>
      <c r="AB23" s="184">
        <f t="shared" si="7"/>
        <v>0</v>
      </c>
      <c r="AC23" s="108">
        <f t="shared" si="7"/>
        <v>1620</v>
      </c>
      <c r="AD23" s="178">
        <f t="shared" si="7"/>
        <v>446</v>
      </c>
      <c r="AE23" s="184">
        <f t="shared" si="7"/>
        <v>0</v>
      </c>
      <c r="AF23" s="108">
        <f t="shared" si="7"/>
        <v>1714</v>
      </c>
      <c r="AG23" s="178">
        <f t="shared" si="7"/>
        <v>428</v>
      </c>
      <c r="AH23" s="184">
        <f t="shared" si="7"/>
        <v>0</v>
      </c>
      <c r="AI23" s="108">
        <f t="shared" si="7"/>
        <v>1823</v>
      </c>
      <c r="AJ23" s="178">
        <f>AJ215</f>
        <v>342</v>
      </c>
      <c r="AK23" s="107">
        <f>AK215</f>
        <v>0</v>
      </c>
      <c r="AL23" s="108">
        <f>AL215</f>
        <v>789</v>
      </c>
      <c r="AM23" s="110"/>
    </row>
    <row r="24" spans="2:39" s="47" customFormat="1" ht="15" customHeight="1">
      <c r="B24" s="140" t="s">
        <v>2</v>
      </c>
      <c r="C24" s="250">
        <f aca="true" t="shared" si="8" ref="C24:AI24">C241</f>
        <v>46</v>
      </c>
      <c r="D24" s="184">
        <f t="shared" si="8"/>
        <v>19</v>
      </c>
      <c r="E24" s="108">
        <f t="shared" si="8"/>
        <v>1319</v>
      </c>
      <c r="F24" s="259">
        <f t="shared" si="8"/>
        <v>22</v>
      </c>
      <c r="G24" s="184">
        <f t="shared" si="8"/>
        <v>15</v>
      </c>
      <c r="H24" s="108">
        <f t="shared" si="8"/>
        <v>1107</v>
      </c>
      <c r="I24" s="259">
        <f t="shared" si="8"/>
        <v>27</v>
      </c>
      <c r="J24" s="184">
        <f t="shared" si="8"/>
        <v>10</v>
      </c>
      <c r="K24" s="108">
        <f t="shared" si="8"/>
        <v>845</v>
      </c>
      <c r="L24" s="259">
        <f t="shared" si="8"/>
        <v>38</v>
      </c>
      <c r="M24" s="184">
        <f t="shared" si="8"/>
        <v>0</v>
      </c>
      <c r="N24" s="108">
        <f t="shared" si="8"/>
        <v>14</v>
      </c>
      <c r="O24" s="259">
        <f t="shared" si="8"/>
        <v>43</v>
      </c>
      <c r="P24" s="184">
        <f t="shared" si="8"/>
        <v>0</v>
      </c>
      <c r="Q24" s="108">
        <f t="shared" si="8"/>
        <v>6</v>
      </c>
      <c r="R24" s="259">
        <f t="shared" si="8"/>
        <v>39</v>
      </c>
      <c r="S24" s="184">
        <f t="shared" si="8"/>
        <v>0</v>
      </c>
      <c r="T24" s="108">
        <f t="shared" si="8"/>
        <v>7</v>
      </c>
      <c r="U24" s="178">
        <f t="shared" si="8"/>
        <v>33</v>
      </c>
      <c r="V24" s="191">
        <f t="shared" si="8"/>
        <v>0</v>
      </c>
      <c r="W24" s="184">
        <f t="shared" si="8"/>
        <v>12</v>
      </c>
      <c r="X24" s="178">
        <f t="shared" si="8"/>
        <v>56</v>
      </c>
      <c r="Y24" s="191">
        <f t="shared" si="8"/>
        <v>0</v>
      </c>
      <c r="Z24" s="184">
        <f t="shared" si="8"/>
        <v>11</v>
      </c>
      <c r="AA24" s="178">
        <f t="shared" si="8"/>
        <v>43</v>
      </c>
      <c r="AB24" s="184">
        <f t="shared" si="8"/>
        <v>0</v>
      </c>
      <c r="AC24" s="108">
        <f t="shared" si="8"/>
        <v>9</v>
      </c>
      <c r="AD24" s="178">
        <f t="shared" si="8"/>
        <v>30</v>
      </c>
      <c r="AE24" s="184">
        <f t="shared" si="8"/>
        <v>0</v>
      </c>
      <c r="AF24" s="108">
        <f t="shared" si="8"/>
        <v>7</v>
      </c>
      <c r="AG24" s="178">
        <f t="shared" si="8"/>
        <v>31</v>
      </c>
      <c r="AH24" s="184">
        <f t="shared" si="8"/>
        <v>0</v>
      </c>
      <c r="AI24" s="108">
        <f t="shared" si="8"/>
        <v>9</v>
      </c>
      <c r="AJ24" s="178">
        <f>AJ241</f>
        <v>18</v>
      </c>
      <c r="AK24" s="107">
        <f>AK241</f>
        <v>0</v>
      </c>
      <c r="AL24" s="108">
        <f>AL241</f>
        <v>11</v>
      </c>
      <c r="AM24" s="110"/>
    </row>
    <row r="25" spans="2:39" s="47" customFormat="1" ht="15" customHeight="1">
      <c r="B25" s="140" t="s">
        <v>75</v>
      </c>
      <c r="C25" s="250">
        <f aca="true" t="shared" si="9" ref="C25:AI25">C271</f>
        <v>44</v>
      </c>
      <c r="D25" s="184">
        <f t="shared" si="9"/>
        <v>21</v>
      </c>
      <c r="E25" s="108">
        <f t="shared" si="9"/>
        <v>2691</v>
      </c>
      <c r="F25" s="259">
        <f t="shared" si="9"/>
        <v>34</v>
      </c>
      <c r="G25" s="184">
        <f t="shared" si="9"/>
        <v>26</v>
      </c>
      <c r="H25" s="108">
        <f t="shared" si="9"/>
        <v>1613</v>
      </c>
      <c r="I25" s="259">
        <f t="shared" si="9"/>
        <v>47</v>
      </c>
      <c r="J25" s="184">
        <f t="shared" si="9"/>
        <v>18</v>
      </c>
      <c r="K25" s="108">
        <f t="shared" si="9"/>
        <v>1429</v>
      </c>
      <c r="L25" s="259">
        <f t="shared" si="9"/>
        <v>38</v>
      </c>
      <c r="M25" s="184">
        <f t="shared" si="9"/>
        <v>0</v>
      </c>
      <c r="N25" s="108">
        <f t="shared" si="9"/>
        <v>168</v>
      </c>
      <c r="O25" s="259">
        <f t="shared" si="9"/>
        <v>35</v>
      </c>
      <c r="P25" s="184">
        <f t="shared" si="9"/>
        <v>0</v>
      </c>
      <c r="Q25" s="108">
        <f t="shared" si="9"/>
        <v>267</v>
      </c>
      <c r="R25" s="259">
        <f t="shared" si="9"/>
        <v>35</v>
      </c>
      <c r="S25" s="184">
        <f t="shared" si="9"/>
        <v>0</v>
      </c>
      <c r="T25" s="108">
        <f t="shared" si="9"/>
        <v>220</v>
      </c>
      <c r="U25" s="178">
        <f t="shared" si="9"/>
        <v>47</v>
      </c>
      <c r="V25" s="191">
        <f t="shared" si="9"/>
        <v>0</v>
      </c>
      <c r="W25" s="184">
        <f t="shared" si="9"/>
        <v>199</v>
      </c>
      <c r="X25" s="178">
        <f t="shared" si="9"/>
        <v>54</v>
      </c>
      <c r="Y25" s="191">
        <f t="shared" si="9"/>
        <v>0</v>
      </c>
      <c r="Z25" s="184">
        <f t="shared" si="9"/>
        <v>160</v>
      </c>
      <c r="AA25" s="178">
        <f t="shared" si="9"/>
        <v>41</v>
      </c>
      <c r="AB25" s="184">
        <f t="shared" si="9"/>
        <v>0</v>
      </c>
      <c r="AC25" s="108">
        <f t="shared" si="9"/>
        <v>168</v>
      </c>
      <c r="AD25" s="178">
        <f t="shared" si="9"/>
        <v>35</v>
      </c>
      <c r="AE25" s="184">
        <f t="shared" si="9"/>
        <v>0</v>
      </c>
      <c r="AF25" s="108">
        <f t="shared" si="9"/>
        <v>162</v>
      </c>
      <c r="AG25" s="178">
        <f t="shared" si="9"/>
        <v>35</v>
      </c>
      <c r="AH25" s="184">
        <f t="shared" si="9"/>
        <v>0</v>
      </c>
      <c r="AI25" s="108">
        <f t="shared" si="9"/>
        <v>174</v>
      </c>
      <c r="AJ25" s="178">
        <f>AJ271</f>
        <v>31</v>
      </c>
      <c r="AK25" s="107">
        <f>AK271</f>
        <v>0</v>
      </c>
      <c r="AL25" s="108">
        <f>AL271</f>
        <v>119</v>
      </c>
      <c r="AM25" s="110"/>
    </row>
    <row r="26" spans="2:39" s="47" customFormat="1" ht="15" customHeight="1">
      <c r="B26" s="140" t="s">
        <v>76</v>
      </c>
      <c r="C26" s="250">
        <f aca="true" t="shared" si="10" ref="C26:AI26">C296</f>
        <v>10</v>
      </c>
      <c r="D26" s="184">
        <f t="shared" si="10"/>
        <v>7</v>
      </c>
      <c r="E26" s="108">
        <f t="shared" si="10"/>
        <v>464</v>
      </c>
      <c r="F26" s="259">
        <f t="shared" si="10"/>
        <v>8</v>
      </c>
      <c r="G26" s="184">
        <f t="shared" si="10"/>
        <v>5</v>
      </c>
      <c r="H26" s="108">
        <f t="shared" si="10"/>
        <v>420</v>
      </c>
      <c r="I26" s="259">
        <f t="shared" si="10"/>
        <v>10</v>
      </c>
      <c r="J26" s="184">
        <f t="shared" si="10"/>
        <v>4</v>
      </c>
      <c r="K26" s="108">
        <f t="shared" si="10"/>
        <v>351</v>
      </c>
      <c r="L26" s="259">
        <f t="shared" si="10"/>
        <v>20</v>
      </c>
      <c r="M26" s="184">
        <f t="shared" si="10"/>
        <v>0</v>
      </c>
      <c r="N26" s="108">
        <f t="shared" si="10"/>
        <v>12</v>
      </c>
      <c r="O26" s="259">
        <f t="shared" si="10"/>
        <v>25</v>
      </c>
      <c r="P26" s="184">
        <f t="shared" si="10"/>
        <v>0</v>
      </c>
      <c r="Q26" s="108">
        <f t="shared" si="10"/>
        <v>14</v>
      </c>
      <c r="R26" s="259">
        <f t="shared" si="10"/>
        <v>33</v>
      </c>
      <c r="S26" s="184">
        <f t="shared" si="10"/>
        <v>0</v>
      </c>
      <c r="T26" s="108">
        <f t="shared" si="10"/>
        <v>12</v>
      </c>
      <c r="U26" s="178">
        <f t="shared" si="10"/>
        <v>25</v>
      </c>
      <c r="V26" s="191">
        <f t="shared" si="10"/>
        <v>0</v>
      </c>
      <c r="W26" s="184">
        <f t="shared" si="10"/>
        <v>28</v>
      </c>
      <c r="X26" s="178">
        <f t="shared" si="10"/>
        <v>36</v>
      </c>
      <c r="Y26" s="191">
        <f t="shared" si="10"/>
        <v>0</v>
      </c>
      <c r="Z26" s="184">
        <f t="shared" si="10"/>
        <v>24</v>
      </c>
      <c r="AA26" s="178">
        <f t="shared" si="10"/>
        <v>33</v>
      </c>
      <c r="AB26" s="184">
        <f t="shared" si="10"/>
        <v>0</v>
      </c>
      <c r="AC26" s="108">
        <f t="shared" si="10"/>
        <v>5</v>
      </c>
      <c r="AD26" s="178">
        <f t="shared" si="10"/>
        <v>25</v>
      </c>
      <c r="AE26" s="184">
        <f t="shared" si="10"/>
        <v>0</v>
      </c>
      <c r="AF26" s="108">
        <f t="shared" si="10"/>
        <v>27</v>
      </c>
      <c r="AG26" s="178">
        <f t="shared" si="10"/>
        <v>41</v>
      </c>
      <c r="AH26" s="184">
        <f t="shared" si="10"/>
        <v>0</v>
      </c>
      <c r="AI26" s="108">
        <f t="shared" si="10"/>
        <v>15</v>
      </c>
      <c r="AJ26" s="178">
        <f>AJ296</f>
        <v>29</v>
      </c>
      <c r="AK26" s="107">
        <f>AK296</f>
        <v>0</v>
      </c>
      <c r="AL26" s="108">
        <f>AL296</f>
        <v>8</v>
      </c>
      <c r="AM26" s="110"/>
    </row>
    <row r="27" spans="2:39" s="47" customFormat="1" ht="15" customHeight="1">
      <c r="B27" s="140" t="s">
        <v>77</v>
      </c>
      <c r="C27" s="250">
        <f aca="true" t="shared" si="11" ref="C27:AI27">C333</f>
        <v>11</v>
      </c>
      <c r="D27" s="184">
        <f t="shared" si="11"/>
        <v>7</v>
      </c>
      <c r="E27" s="108">
        <f t="shared" si="11"/>
        <v>345</v>
      </c>
      <c r="F27" s="259">
        <f t="shared" si="11"/>
        <v>6</v>
      </c>
      <c r="G27" s="184">
        <f t="shared" si="11"/>
        <v>5</v>
      </c>
      <c r="H27" s="108">
        <f t="shared" si="11"/>
        <v>188</v>
      </c>
      <c r="I27" s="259">
        <f t="shared" si="11"/>
        <v>3</v>
      </c>
      <c r="J27" s="184">
        <f t="shared" si="11"/>
        <v>2</v>
      </c>
      <c r="K27" s="108">
        <f t="shared" si="11"/>
        <v>166</v>
      </c>
      <c r="L27" s="259">
        <f t="shared" si="11"/>
        <v>29</v>
      </c>
      <c r="M27" s="184">
        <f t="shared" si="11"/>
        <v>0</v>
      </c>
      <c r="N27" s="108">
        <f t="shared" si="11"/>
        <v>7</v>
      </c>
      <c r="O27" s="259">
        <f t="shared" si="11"/>
        <v>24</v>
      </c>
      <c r="P27" s="184">
        <f t="shared" si="11"/>
        <v>0</v>
      </c>
      <c r="Q27" s="108">
        <f t="shared" si="11"/>
        <v>4</v>
      </c>
      <c r="R27" s="259">
        <f t="shared" si="11"/>
        <v>31</v>
      </c>
      <c r="S27" s="184">
        <f t="shared" si="11"/>
        <v>0</v>
      </c>
      <c r="T27" s="108">
        <f t="shared" si="11"/>
        <v>11</v>
      </c>
      <c r="U27" s="178">
        <f t="shared" si="11"/>
        <v>37</v>
      </c>
      <c r="V27" s="191">
        <f t="shared" si="11"/>
        <v>0</v>
      </c>
      <c r="W27" s="184">
        <f t="shared" si="11"/>
        <v>14</v>
      </c>
      <c r="X27" s="178">
        <f t="shared" si="11"/>
        <v>37</v>
      </c>
      <c r="Y27" s="191">
        <f t="shared" si="11"/>
        <v>0</v>
      </c>
      <c r="Z27" s="184">
        <f t="shared" si="11"/>
        <v>3</v>
      </c>
      <c r="AA27" s="178">
        <f t="shared" si="11"/>
        <v>33</v>
      </c>
      <c r="AB27" s="184">
        <f t="shared" si="11"/>
        <v>0</v>
      </c>
      <c r="AC27" s="108">
        <f t="shared" si="11"/>
        <v>4</v>
      </c>
      <c r="AD27" s="178">
        <f t="shared" si="11"/>
        <v>33</v>
      </c>
      <c r="AE27" s="184">
        <f t="shared" si="11"/>
        <v>0</v>
      </c>
      <c r="AF27" s="108">
        <f t="shared" si="11"/>
        <v>4</v>
      </c>
      <c r="AG27" s="178">
        <f t="shared" si="11"/>
        <v>35</v>
      </c>
      <c r="AH27" s="184">
        <f t="shared" si="11"/>
        <v>0</v>
      </c>
      <c r="AI27" s="108">
        <f t="shared" si="11"/>
        <v>1</v>
      </c>
      <c r="AJ27" s="178">
        <f>AJ333</f>
        <v>31</v>
      </c>
      <c r="AK27" s="107">
        <f>AK333</f>
        <v>0</v>
      </c>
      <c r="AL27" s="108">
        <f>AL333</f>
        <v>0</v>
      </c>
      <c r="AM27" s="110"/>
    </row>
    <row r="28" spans="2:39" s="47" customFormat="1" ht="15" customHeight="1">
      <c r="B28" s="140" t="s">
        <v>3</v>
      </c>
      <c r="C28" s="250">
        <f aca="true" t="shared" si="12" ref="C28:AI28">C357</f>
        <v>7</v>
      </c>
      <c r="D28" s="184">
        <f t="shared" si="12"/>
        <v>3</v>
      </c>
      <c r="E28" s="108">
        <f t="shared" si="12"/>
        <v>217</v>
      </c>
      <c r="F28" s="259">
        <f t="shared" si="12"/>
        <v>2</v>
      </c>
      <c r="G28" s="184">
        <f t="shared" si="12"/>
        <v>3</v>
      </c>
      <c r="H28" s="108">
        <f t="shared" si="12"/>
        <v>135</v>
      </c>
      <c r="I28" s="259">
        <f t="shared" si="12"/>
        <v>6</v>
      </c>
      <c r="J28" s="184">
        <f t="shared" si="12"/>
        <v>2</v>
      </c>
      <c r="K28" s="108">
        <f t="shared" si="12"/>
        <v>106</v>
      </c>
      <c r="L28" s="259">
        <f t="shared" si="12"/>
        <v>19</v>
      </c>
      <c r="M28" s="184">
        <f t="shared" si="12"/>
        <v>0</v>
      </c>
      <c r="N28" s="108">
        <f t="shared" si="12"/>
        <v>0</v>
      </c>
      <c r="O28" s="259">
        <f t="shared" si="12"/>
        <v>14</v>
      </c>
      <c r="P28" s="184">
        <f t="shared" si="12"/>
        <v>0</v>
      </c>
      <c r="Q28" s="108">
        <f t="shared" si="12"/>
        <v>0</v>
      </c>
      <c r="R28" s="259">
        <f t="shared" si="12"/>
        <v>17</v>
      </c>
      <c r="S28" s="184">
        <f t="shared" si="12"/>
        <v>0</v>
      </c>
      <c r="T28" s="108">
        <f t="shared" si="12"/>
        <v>0</v>
      </c>
      <c r="U28" s="178">
        <f t="shared" si="12"/>
        <v>26</v>
      </c>
      <c r="V28" s="191">
        <f t="shared" si="12"/>
        <v>0</v>
      </c>
      <c r="W28" s="184">
        <f t="shared" si="12"/>
        <v>0</v>
      </c>
      <c r="X28" s="178">
        <f t="shared" si="12"/>
        <v>15</v>
      </c>
      <c r="Y28" s="191">
        <f t="shared" si="12"/>
        <v>0</v>
      </c>
      <c r="Z28" s="184">
        <f t="shared" si="12"/>
        <v>0</v>
      </c>
      <c r="AA28" s="178">
        <f t="shared" si="12"/>
        <v>25</v>
      </c>
      <c r="AB28" s="184">
        <f t="shared" si="12"/>
        <v>0</v>
      </c>
      <c r="AC28" s="108">
        <f t="shared" si="12"/>
        <v>0</v>
      </c>
      <c r="AD28" s="178">
        <f t="shared" si="12"/>
        <v>14</v>
      </c>
      <c r="AE28" s="184">
        <f t="shared" si="12"/>
        <v>0</v>
      </c>
      <c r="AF28" s="108">
        <f t="shared" si="12"/>
        <v>0</v>
      </c>
      <c r="AG28" s="178">
        <f t="shared" si="12"/>
        <v>26</v>
      </c>
      <c r="AH28" s="184">
        <f t="shared" si="12"/>
        <v>0</v>
      </c>
      <c r="AI28" s="108">
        <f t="shared" si="12"/>
        <v>0</v>
      </c>
      <c r="AJ28" s="178">
        <f>AJ357</f>
        <v>14</v>
      </c>
      <c r="AK28" s="107">
        <f>AK357</f>
        <v>0</v>
      </c>
      <c r="AL28" s="108">
        <f>AL357</f>
        <v>0</v>
      </c>
      <c r="AM28" s="110"/>
    </row>
    <row r="29" spans="2:39" s="47" customFormat="1" ht="15" customHeight="1">
      <c r="B29" s="140" t="s">
        <v>78</v>
      </c>
      <c r="C29" s="250">
        <f aca="true" t="shared" si="13" ref="C29:AI29">C389</f>
        <v>24</v>
      </c>
      <c r="D29" s="184">
        <f t="shared" si="13"/>
        <v>11</v>
      </c>
      <c r="E29" s="108">
        <f t="shared" si="13"/>
        <v>398</v>
      </c>
      <c r="F29" s="259">
        <f t="shared" si="13"/>
        <v>17</v>
      </c>
      <c r="G29" s="184">
        <f t="shared" si="13"/>
        <v>14</v>
      </c>
      <c r="H29" s="108">
        <f t="shared" si="13"/>
        <v>419</v>
      </c>
      <c r="I29" s="259">
        <f t="shared" si="13"/>
        <v>18</v>
      </c>
      <c r="J29" s="184">
        <f t="shared" si="13"/>
        <v>8</v>
      </c>
      <c r="K29" s="108">
        <f t="shared" si="13"/>
        <v>370</v>
      </c>
      <c r="L29" s="259">
        <f t="shared" si="13"/>
        <v>20</v>
      </c>
      <c r="M29" s="184">
        <f t="shared" si="13"/>
        <v>0</v>
      </c>
      <c r="N29" s="108">
        <f t="shared" si="13"/>
        <v>17</v>
      </c>
      <c r="O29" s="259">
        <f t="shared" si="13"/>
        <v>4</v>
      </c>
      <c r="P29" s="184">
        <f t="shared" si="13"/>
        <v>0</v>
      </c>
      <c r="Q29" s="108">
        <f t="shared" si="13"/>
        <v>13</v>
      </c>
      <c r="R29" s="259">
        <f t="shared" si="13"/>
        <v>12</v>
      </c>
      <c r="S29" s="184">
        <f t="shared" si="13"/>
        <v>0</v>
      </c>
      <c r="T29" s="108">
        <f t="shared" si="13"/>
        <v>9</v>
      </c>
      <c r="U29" s="178">
        <f t="shared" si="13"/>
        <v>21</v>
      </c>
      <c r="V29" s="191">
        <f t="shared" si="13"/>
        <v>0</v>
      </c>
      <c r="W29" s="184">
        <f t="shared" si="13"/>
        <v>25</v>
      </c>
      <c r="X29" s="178">
        <f t="shared" si="13"/>
        <v>16</v>
      </c>
      <c r="Y29" s="191">
        <f t="shared" si="13"/>
        <v>0</v>
      </c>
      <c r="Z29" s="184">
        <f t="shared" si="13"/>
        <v>13</v>
      </c>
      <c r="AA29" s="178">
        <f t="shared" si="13"/>
        <v>23</v>
      </c>
      <c r="AB29" s="184">
        <f t="shared" si="13"/>
        <v>0</v>
      </c>
      <c r="AC29" s="108">
        <f t="shared" si="13"/>
        <v>15</v>
      </c>
      <c r="AD29" s="178">
        <f t="shared" si="13"/>
        <v>20</v>
      </c>
      <c r="AE29" s="184">
        <f t="shared" si="13"/>
        <v>0</v>
      </c>
      <c r="AF29" s="108">
        <f t="shared" si="13"/>
        <v>12</v>
      </c>
      <c r="AG29" s="178">
        <f t="shared" si="13"/>
        <v>22</v>
      </c>
      <c r="AH29" s="184">
        <f t="shared" si="13"/>
        <v>0</v>
      </c>
      <c r="AI29" s="108">
        <f t="shared" si="13"/>
        <v>6</v>
      </c>
      <c r="AJ29" s="178">
        <f>AJ389</f>
        <v>16</v>
      </c>
      <c r="AK29" s="107">
        <f>AK389</f>
        <v>0</v>
      </c>
      <c r="AL29" s="108">
        <f>AL389</f>
        <v>5</v>
      </c>
      <c r="AM29" s="110"/>
    </row>
    <row r="30" spans="2:39" s="47" customFormat="1" ht="15" customHeight="1">
      <c r="B30" s="142" t="s">
        <v>79</v>
      </c>
      <c r="C30" s="251">
        <f aca="true" t="shared" si="14" ref="C30:AI30">C414</f>
        <v>6</v>
      </c>
      <c r="D30" s="184">
        <f t="shared" si="14"/>
        <v>3</v>
      </c>
      <c r="E30" s="108">
        <f t="shared" si="14"/>
        <v>383</v>
      </c>
      <c r="F30" s="260">
        <f t="shared" si="14"/>
        <v>19</v>
      </c>
      <c r="G30" s="184">
        <f t="shared" si="14"/>
        <v>14</v>
      </c>
      <c r="H30" s="108">
        <f t="shared" si="14"/>
        <v>342</v>
      </c>
      <c r="I30" s="260">
        <f t="shared" si="14"/>
        <v>5</v>
      </c>
      <c r="J30" s="184">
        <f t="shared" si="14"/>
        <v>2</v>
      </c>
      <c r="K30" s="108">
        <f t="shared" si="14"/>
        <v>246</v>
      </c>
      <c r="L30" s="260">
        <f t="shared" si="14"/>
        <v>26</v>
      </c>
      <c r="M30" s="184">
        <f t="shared" si="14"/>
        <v>0</v>
      </c>
      <c r="N30" s="108">
        <f t="shared" si="14"/>
        <v>14</v>
      </c>
      <c r="O30" s="260">
        <f t="shared" si="14"/>
        <v>24</v>
      </c>
      <c r="P30" s="184">
        <f t="shared" si="14"/>
        <v>0</v>
      </c>
      <c r="Q30" s="108">
        <f t="shared" si="14"/>
        <v>7</v>
      </c>
      <c r="R30" s="260">
        <f t="shared" si="14"/>
        <v>22</v>
      </c>
      <c r="S30" s="184">
        <f t="shared" si="14"/>
        <v>0</v>
      </c>
      <c r="T30" s="108">
        <f t="shared" si="14"/>
        <v>15</v>
      </c>
      <c r="U30" s="178">
        <f t="shared" si="14"/>
        <v>24</v>
      </c>
      <c r="V30" s="191">
        <f t="shared" si="14"/>
        <v>0</v>
      </c>
      <c r="W30" s="184">
        <f t="shared" si="14"/>
        <v>21</v>
      </c>
      <c r="X30" s="178">
        <f t="shared" si="14"/>
        <v>27</v>
      </c>
      <c r="Y30" s="191">
        <f t="shared" si="14"/>
        <v>0</v>
      </c>
      <c r="Z30" s="184">
        <f t="shared" si="14"/>
        <v>5</v>
      </c>
      <c r="AA30" s="178">
        <f t="shared" si="14"/>
        <v>13</v>
      </c>
      <c r="AB30" s="184">
        <f t="shared" si="14"/>
        <v>0</v>
      </c>
      <c r="AC30" s="108">
        <f t="shared" si="14"/>
        <v>11</v>
      </c>
      <c r="AD30" s="178">
        <f t="shared" si="14"/>
        <v>21</v>
      </c>
      <c r="AE30" s="184">
        <f t="shared" si="14"/>
        <v>0</v>
      </c>
      <c r="AF30" s="108">
        <f t="shared" si="14"/>
        <v>11</v>
      </c>
      <c r="AG30" s="178">
        <f t="shared" si="14"/>
        <v>24</v>
      </c>
      <c r="AH30" s="184">
        <f t="shared" si="14"/>
        <v>0</v>
      </c>
      <c r="AI30" s="108">
        <f t="shared" si="14"/>
        <v>8</v>
      </c>
      <c r="AJ30" s="248">
        <f>AJ414</f>
        <v>14</v>
      </c>
      <c r="AK30" s="185">
        <f>AK414</f>
        <v>0</v>
      </c>
      <c r="AL30" s="186">
        <f>AL414</f>
        <v>8</v>
      </c>
      <c r="AM30" s="110"/>
    </row>
    <row r="31" spans="2:39" s="47" customFormat="1" ht="15" customHeight="1">
      <c r="B31" s="142" t="s">
        <v>80</v>
      </c>
      <c r="C31" s="251">
        <f aca="true" t="shared" si="15" ref="C31:AI31">C437</f>
        <v>11</v>
      </c>
      <c r="D31" s="184">
        <f t="shared" si="15"/>
        <v>6</v>
      </c>
      <c r="E31" s="108">
        <f t="shared" si="15"/>
        <v>173</v>
      </c>
      <c r="F31" s="260">
        <f t="shared" si="15"/>
        <v>4</v>
      </c>
      <c r="G31" s="184">
        <f t="shared" si="15"/>
        <v>7</v>
      </c>
      <c r="H31" s="108">
        <f t="shared" si="15"/>
        <v>136</v>
      </c>
      <c r="I31" s="260">
        <f t="shared" si="15"/>
        <v>0</v>
      </c>
      <c r="J31" s="184">
        <f t="shared" si="15"/>
        <v>0</v>
      </c>
      <c r="K31" s="108">
        <f t="shared" si="15"/>
        <v>82</v>
      </c>
      <c r="L31" s="260">
        <f t="shared" si="15"/>
        <v>5</v>
      </c>
      <c r="M31" s="184">
        <f t="shared" si="15"/>
        <v>0</v>
      </c>
      <c r="N31" s="108">
        <f t="shared" si="15"/>
        <v>27</v>
      </c>
      <c r="O31" s="260">
        <f t="shared" si="15"/>
        <v>6</v>
      </c>
      <c r="P31" s="184">
        <f t="shared" si="15"/>
        <v>0</v>
      </c>
      <c r="Q31" s="108">
        <f t="shared" si="15"/>
        <v>0</v>
      </c>
      <c r="R31" s="260">
        <f t="shared" si="15"/>
        <v>7</v>
      </c>
      <c r="S31" s="184">
        <f t="shared" si="15"/>
        <v>0</v>
      </c>
      <c r="T31" s="108">
        <f t="shared" si="15"/>
        <v>0</v>
      </c>
      <c r="U31" s="178">
        <f t="shared" si="15"/>
        <v>5</v>
      </c>
      <c r="V31" s="191">
        <f t="shared" si="15"/>
        <v>0</v>
      </c>
      <c r="W31" s="184">
        <f t="shared" si="15"/>
        <v>0</v>
      </c>
      <c r="X31" s="178">
        <f t="shared" si="15"/>
        <v>4</v>
      </c>
      <c r="Y31" s="191">
        <f t="shared" si="15"/>
        <v>0</v>
      </c>
      <c r="Z31" s="184">
        <f t="shared" si="15"/>
        <v>0</v>
      </c>
      <c r="AA31" s="178">
        <f t="shared" si="15"/>
        <v>5</v>
      </c>
      <c r="AB31" s="184">
        <f t="shared" si="15"/>
        <v>0</v>
      </c>
      <c r="AC31" s="108">
        <f t="shared" si="15"/>
        <v>0</v>
      </c>
      <c r="AD31" s="178">
        <f t="shared" si="15"/>
        <v>8</v>
      </c>
      <c r="AE31" s="184">
        <f t="shared" si="15"/>
        <v>0</v>
      </c>
      <c r="AF31" s="108">
        <f t="shared" si="15"/>
        <v>0</v>
      </c>
      <c r="AG31" s="178">
        <f t="shared" si="15"/>
        <v>7</v>
      </c>
      <c r="AH31" s="184">
        <f t="shared" si="15"/>
        <v>0</v>
      </c>
      <c r="AI31" s="108">
        <f t="shared" si="15"/>
        <v>0</v>
      </c>
      <c r="AJ31" s="248">
        <f>AJ437</f>
        <v>5</v>
      </c>
      <c r="AK31" s="185">
        <f>AK437</f>
        <v>0</v>
      </c>
      <c r="AL31" s="186">
        <f>AL437</f>
        <v>0</v>
      </c>
      <c r="AM31" s="110"/>
    </row>
    <row r="32" spans="2:39" s="47" customFormat="1" ht="15" customHeight="1">
      <c r="B32" s="142" t="s">
        <v>81</v>
      </c>
      <c r="C32" s="251">
        <f aca="true" t="shared" si="16" ref="C32:AI32">C487</f>
        <v>174</v>
      </c>
      <c r="D32" s="184">
        <f t="shared" si="16"/>
        <v>89</v>
      </c>
      <c r="E32" s="108">
        <f t="shared" si="16"/>
        <v>5234</v>
      </c>
      <c r="F32" s="260">
        <f t="shared" si="16"/>
        <v>143</v>
      </c>
      <c r="G32" s="184">
        <f t="shared" si="16"/>
        <v>83</v>
      </c>
      <c r="H32" s="108">
        <f t="shared" si="16"/>
        <v>4237</v>
      </c>
      <c r="I32" s="260">
        <f t="shared" si="16"/>
        <v>125</v>
      </c>
      <c r="J32" s="184">
        <f t="shared" si="16"/>
        <v>47</v>
      </c>
      <c r="K32" s="108">
        <f t="shared" si="16"/>
        <v>3250</v>
      </c>
      <c r="L32" s="260">
        <f t="shared" si="16"/>
        <v>129</v>
      </c>
      <c r="M32" s="184">
        <f t="shared" si="16"/>
        <v>0</v>
      </c>
      <c r="N32" s="108">
        <f t="shared" si="16"/>
        <v>2774</v>
      </c>
      <c r="O32" s="260">
        <f t="shared" si="16"/>
        <v>170</v>
      </c>
      <c r="P32" s="184">
        <f t="shared" si="16"/>
        <v>0</v>
      </c>
      <c r="Q32" s="108">
        <f t="shared" si="16"/>
        <v>2408</v>
      </c>
      <c r="R32" s="260">
        <f t="shared" si="16"/>
        <v>185</v>
      </c>
      <c r="S32" s="184">
        <f t="shared" si="16"/>
        <v>0</v>
      </c>
      <c r="T32" s="108">
        <f t="shared" si="16"/>
        <v>1942</v>
      </c>
      <c r="U32" s="178">
        <f t="shared" si="16"/>
        <v>179</v>
      </c>
      <c r="V32" s="191">
        <f t="shared" si="16"/>
        <v>0</v>
      </c>
      <c r="W32" s="184">
        <f t="shared" si="16"/>
        <v>1877</v>
      </c>
      <c r="X32" s="178">
        <f t="shared" si="16"/>
        <v>198</v>
      </c>
      <c r="Y32" s="191">
        <f t="shared" si="16"/>
        <v>0</v>
      </c>
      <c r="Z32" s="184">
        <f t="shared" si="16"/>
        <v>1946</v>
      </c>
      <c r="AA32" s="178">
        <f t="shared" si="16"/>
        <v>149</v>
      </c>
      <c r="AB32" s="184">
        <f t="shared" si="16"/>
        <v>0</v>
      </c>
      <c r="AC32" s="108">
        <f t="shared" si="16"/>
        <v>1617</v>
      </c>
      <c r="AD32" s="178">
        <f t="shared" si="16"/>
        <v>166</v>
      </c>
      <c r="AE32" s="184">
        <f t="shared" si="16"/>
        <v>0</v>
      </c>
      <c r="AF32" s="108">
        <f t="shared" si="16"/>
        <v>1643</v>
      </c>
      <c r="AG32" s="178">
        <f t="shared" si="16"/>
        <v>193</v>
      </c>
      <c r="AH32" s="184">
        <f t="shared" si="16"/>
        <v>0</v>
      </c>
      <c r="AI32" s="108">
        <f t="shared" si="16"/>
        <v>1869</v>
      </c>
      <c r="AJ32" s="248">
        <f>AJ487</f>
        <v>134</v>
      </c>
      <c r="AK32" s="185">
        <f>AK487</f>
        <v>0</v>
      </c>
      <c r="AL32" s="186">
        <f>AL487</f>
        <v>1513</v>
      </c>
      <c r="AM32" s="110"/>
    </row>
    <row r="33" spans="2:39" s="47" customFormat="1" ht="15" customHeight="1">
      <c r="B33" s="142" t="s">
        <v>82</v>
      </c>
      <c r="C33" s="251">
        <f aca="true" t="shared" si="17" ref="C33:AI33">C517</f>
        <v>10</v>
      </c>
      <c r="D33" s="184">
        <f t="shared" si="17"/>
        <v>4</v>
      </c>
      <c r="E33" s="108">
        <f t="shared" si="17"/>
        <v>198</v>
      </c>
      <c r="F33" s="260">
        <f t="shared" si="17"/>
        <v>12</v>
      </c>
      <c r="G33" s="184">
        <f t="shared" si="17"/>
        <v>12</v>
      </c>
      <c r="H33" s="108">
        <f t="shared" si="17"/>
        <v>159</v>
      </c>
      <c r="I33" s="260">
        <f t="shared" si="17"/>
        <v>3</v>
      </c>
      <c r="J33" s="184">
        <f t="shared" si="17"/>
        <v>2</v>
      </c>
      <c r="K33" s="108">
        <f t="shared" si="17"/>
        <v>131</v>
      </c>
      <c r="L33" s="260">
        <f t="shared" si="17"/>
        <v>17</v>
      </c>
      <c r="M33" s="184">
        <f t="shared" si="17"/>
        <v>0</v>
      </c>
      <c r="N33" s="108">
        <f t="shared" si="17"/>
        <v>23</v>
      </c>
      <c r="O33" s="260">
        <f t="shared" si="17"/>
        <v>20</v>
      </c>
      <c r="P33" s="184">
        <f t="shared" si="17"/>
        <v>0</v>
      </c>
      <c r="Q33" s="108">
        <f t="shared" si="17"/>
        <v>11</v>
      </c>
      <c r="R33" s="260">
        <f t="shared" si="17"/>
        <v>11</v>
      </c>
      <c r="S33" s="184">
        <f t="shared" si="17"/>
        <v>0</v>
      </c>
      <c r="T33" s="108">
        <f t="shared" si="17"/>
        <v>34</v>
      </c>
      <c r="U33" s="178">
        <f t="shared" si="17"/>
        <v>7</v>
      </c>
      <c r="V33" s="191">
        <f t="shared" si="17"/>
        <v>0</v>
      </c>
      <c r="W33" s="184">
        <f t="shared" si="17"/>
        <v>81</v>
      </c>
      <c r="X33" s="178">
        <f t="shared" si="17"/>
        <v>15</v>
      </c>
      <c r="Y33" s="191">
        <f t="shared" si="17"/>
        <v>0</v>
      </c>
      <c r="Z33" s="184">
        <f t="shared" si="17"/>
        <v>26</v>
      </c>
      <c r="AA33" s="178">
        <f t="shared" si="17"/>
        <v>11</v>
      </c>
      <c r="AB33" s="184">
        <f t="shared" si="17"/>
        <v>0</v>
      </c>
      <c r="AC33" s="108">
        <f t="shared" si="17"/>
        <v>15</v>
      </c>
      <c r="AD33" s="178">
        <f t="shared" si="17"/>
        <v>18</v>
      </c>
      <c r="AE33" s="184">
        <f t="shared" si="17"/>
        <v>0</v>
      </c>
      <c r="AF33" s="108">
        <f t="shared" si="17"/>
        <v>9</v>
      </c>
      <c r="AG33" s="178">
        <f t="shared" si="17"/>
        <v>15</v>
      </c>
      <c r="AH33" s="184">
        <f t="shared" si="17"/>
        <v>0</v>
      </c>
      <c r="AI33" s="108">
        <f t="shared" si="17"/>
        <v>9</v>
      </c>
      <c r="AJ33" s="248">
        <f>AJ517</f>
        <v>10</v>
      </c>
      <c r="AK33" s="185">
        <f>AK517</f>
        <v>0</v>
      </c>
      <c r="AL33" s="186">
        <f>AL517</f>
        <v>8</v>
      </c>
      <c r="AM33" s="110"/>
    </row>
    <row r="34" spans="2:39" s="47" customFormat="1" ht="15" customHeight="1">
      <c r="B34" s="142" t="s">
        <v>83</v>
      </c>
      <c r="C34" s="251">
        <f aca="true" t="shared" si="18" ref="C34:AI34">C554</f>
        <v>17</v>
      </c>
      <c r="D34" s="184">
        <f t="shared" si="18"/>
        <v>8</v>
      </c>
      <c r="E34" s="108">
        <f t="shared" si="18"/>
        <v>636</v>
      </c>
      <c r="F34" s="260">
        <f t="shared" si="18"/>
        <v>8</v>
      </c>
      <c r="G34" s="184">
        <f t="shared" si="18"/>
        <v>10</v>
      </c>
      <c r="H34" s="108">
        <f t="shared" si="18"/>
        <v>542</v>
      </c>
      <c r="I34" s="260">
        <f t="shared" si="18"/>
        <v>11</v>
      </c>
      <c r="J34" s="184">
        <f t="shared" si="18"/>
        <v>3</v>
      </c>
      <c r="K34" s="108">
        <f t="shared" si="18"/>
        <v>214</v>
      </c>
      <c r="L34" s="260">
        <f t="shared" si="18"/>
        <v>24</v>
      </c>
      <c r="M34" s="184">
        <f t="shared" si="18"/>
        <v>0</v>
      </c>
      <c r="N34" s="108">
        <f t="shared" si="18"/>
        <v>48</v>
      </c>
      <c r="O34" s="260">
        <f t="shared" si="18"/>
        <v>27</v>
      </c>
      <c r="P34" s="184">
        <f t="shared" si="18"/>
        <v>0</v>
      </c>
      <c r="Q34" s="108">
        <f t="shared" si="18"/>
        <v>0</v>
      </c>
      <c r="R34" s="260">
        <f t="shared" si="18"/>
        <v>21</v>
      </c>
      <c r="S34" s="184">
        <f t="shared" si="18"/>
        <v>0</v>
      </c>
      <c r="T34" s="108">
        <f t="shared" si="18"/>
        <v>1</v>
      </c>
      <c r="U34" s="178">
        <f t="shared" si="18"/>
        <v>33</v>
      </c>
      <c r="V34" s="191">
        <f t="shared" si="18"/>
        <v>0</v>
      </c>
      <c r="W34" s="184">
        <f t="shared" si="18"/>
        <v>5</v>
      </c>
      <c r="X34" s="178">
        <f t="shared" si="18"/>
        <v>18</v>
      </c>
      <c r="Y34" s="191">
        <f t="shared" si="18"/>
        <v>0</v>
      </c>
      <c r="Z34" s="184">
        <f t="shared" si="18"/>
        <v>0</v>
      </c>
      <c r="AA34" s="178">
        <f t="shared" si="18"/>
        <v>14</v>
      </c>
      <c r="AB34" s="184">
        <f t="shared" si="18"/>
        <v>0</v>
      </c>
      <c r="AC34" s="108">
        <f t="shared" si="18"/>
        <v>4</v>
      </c>
      <c r="AD34" s="178">
        <f t="shared" si="18"/>
        <v>14</v>
      </c>
      <c r="AE34" s="184">
        <f t="shared" si="18"/>
        <v>0</v>
      </c>
      <c r="AF34" s="108">
        <f t="shared" si="18"/>
        <v>0</v>
      </c>
      <c r="AG34" s="178">
        <f t="shared" si="18"/>
        <v>14</v>
      </c>
      <c r="AH34" s="184">
        <f t="shared" si="18"/>
        <v>0</v>
      </c>
      <c r="AI34" s="108">
        <f t="shared" si="18"/>
        <v>2</v>
      </c>
      <c r="AJ34" s="248">
        <f>AJ554</f>
        <v>14</v>
      </c>
      <c r="AK34" s="185">
        <f>AK554</f>
        <v>0</v>
      </c>
      <c r="AL34" s="186">
        <f>AL554</f>
        <v>4</v>
      </c>
      <c r="AM34" s="110"/>
    </row>
    <row r="35" spans="2:39" s="47" customFormat="1" ht="15" customHeight="1">
      <c r="B35" s="142" t="s">
        <v>4</v>
      </c>
      <c r="C35" s="251">
        <f aca="true" t="shared" si="19" ref="C35:AI35">C580</f>
        <v>7</v>
      </c>
      <c r="D35" s="184">
        <f t="shared" si="19"/>
        <v>5</v>
      </c>
      <c r="E35" s="108">
        <f t="shared" si="19"/>
        <v>336</v>
      </c>
      <c r="F35" s="260">
        <f t="shared" si="19"/>
        <v>8</v>
      </c>
      <c r="G35" s="184">
        <f t="shared" si="19"/>
        <v>5</v>
      </c>
      <c r="H35" s="108">
        <f t="shared" si="19"/>
        <v>216</v>
      </c>
      <c r="I35" s="260">
        <f t="shared" si="19"/>
        <v>2</v>
      </c>
      <c r="J35" s="184">
        <f t="shared" si="19"/>
        <v>3</v>
      </c>
      <c r="K35" s="108">
        <f t="shared" si="19"/>
        <v>168</v>
      </c>
      <c r="L35" s="260">
        <f t="shared" si="19"/>
        <v>10</v>
      </c>
      <c r="M35" s="184">
        <f t="shared" si="19"/>
        <v>0</v>
      </c>
      <c r="N35" s="108">
        <f t="shared" si="19"/>
        <v>63</v>
      </c>
      <c r="O35" s="260">
        <f t="shared" si="19"/>
        <v>9</v>
      </c>
      <c r="P35" s="184">
        <f t="shared" si="19"/>
        <v>0</v>
      </c>
      <c r="Q35" s="108">
        <f t="shared" si="19"/>
        <v>3</v>
      </c>
      <c r="R35" s="260">
        <f t="shared" si="19"/>
        <v>5</v>
      </c>
      <c r="S35" s="184">
        <f t="shared" si="19"/>
        <v>0</v>
      </c>
      <c r="T35" s="108">
        <f t="shared" si="19"/>
        <v>8</v>
      </c>
      <c r="U35" s="178">
        <f t="shared" si="19"/>
        <v>8</v>
      </c>
      <c r="V35" s="191">
        <f t="shared" si="19"/>
        <v>0</v>
      </c>
      <c r="W35" s="184">
        <f t="shared" si="19"/>
        <v>2</v>
      </c>
      <c r="X35" s="178">
        <f t="shared" si="19"/>
        <v>5</v>
      </c>
      <c r="Y35" s="191">
        <f t="shared" si="19"/>
        <v>0</v>
      </c>
      <c r="Z35" s="184">
        <f t="shared" si="19"/>
        <v>2</v>
      </c>
      <c r="AA35" s="178">
        <f t="shared" si="19"/>
        <v>10</v>
      </c>
      <c r="AB35" s="184">
        <f t="shared" si="19"/>
        <v>0</v>
      </c>
      <c r="AC35" s="108">
        <f t="shared" si="19"/>
        <v>2</v>
      </c>
      <c r="AD35" s="178">
        <f t="shared" si="19"/>
        <v>17</v>
      </c>
      <c r="AE35" s="184">
        <f t="shared" si="19"/>
        <v>0</v>
      </c>
      <c r="AF35" s="108">
        <f t="shared" si="19"/>
        <v>0</v>
      </c>
      <c r="AG35" s="178">
        <f t="shared" si="19"/>
        <v>18</v>
      </c>
      <c r="AH35" s="184">
        <f t="shared" si="19"/>
        <v>0</v>
      </c>
      <c r="AI35" s="108">
        <f t="shared" si="19"/>
        <v>0</v>
      </c>
      <c r="AJ35" s="248">
        <f>AJ580</f>
        <v>9</v>
      </c>
      <c r="AK35" s="185">
        <f>AK580</f>
        <v>0</v>
      </c>
      <c r="AL35" s="186">
        <f>AL580</f>
        <v>7</v>
      </c>
      <c r="AM35" s="110"/>
    </row>
    <row r="36" spans="2:39" s="47" customFormat="1" ht="15" customHeight="1">
      <c r="B36" s="142" t="s">
        <v>84</v>
      </c>
      <c r="C36" s="251">
        <f aca="true" t="shared" si="20" ref="C36:AI36">C606</f>
        <v>3</v>
      </c>
      <c r="D36" s="184">
        <f t="shared" si="20"/>
        <v>3</v>
      </c>
      <c r="E36" s="108">
        <f t="shared" si="20"/>
        <v>104</v>
      </c>
      <c r="F36" s="260">
        <f t="shared" si="20"/>
        <v>3</v>
      </c>
      <c r="G36" s="184">
        <f t="shared" si="20"/>
        <v>4</v>
      </c>
      <c r="H36" s="108">
        <f t="shared" si="20"/>
        <v>132</v>
      </c>
      <c r="I36" s="260">
        <f t="shared" si="20"/>
        <v>5</v>
      </c>
      <c r="J36" s="184">
        <f t="shared" si="20"/>
        <v>3</v>
      </c>
      <c r="K36" s="108">
        <f t="shared" si="20"/>
        <v>105</v>
      </c>
      <c r="L36" s="260">
        <f t="shared" si="20"/>
        <v>12</v>
      </c>
      <c r="M36" s="184">
        <f t="shared" si="20"/>
        <v>0</v>
      </c>
      <c r="N36" s="108">
        <f t="shared" si="20"/>
        <v>0</v>
      </c>
      <c r="O36" s="260">
        <f t="shared" si="20"/>
        <v>9</v>
      </c>
      <c r="P36" s="184">
        <f t="shared" si="20"/>
        <v>0</v>
      </c>
      <c r="Q36" s="108">
        <f t="shared" si="20"/>
        <v>0</v>
      </c>
      <c r="R36" s="260">
        <f t="shared" si="20"/>
        <v>3</v>
      </c>
      <c r="S36" s="184">
        <f t="shared" si="20"/>
        <v>0</v>
      </c>
      <c r="T36" s="108">
        <f t="shared" si="20"/>
        <v>0</v>
      </c>
      <c r="U36" s="178">
        <f t="shared" si="20"/>
        <v>7</v>
      </c>
      <c r="V36" s="191">
        <f t="shared" si="20"/>
        <v>0</v>
      </c>
      <c r="W36" s="184">
        <f t="shared" si="20"/>
        <v>0</v>
      </c>
      <c r="X36" s="178">
        <f t="shared" si="20"/>
        <v>15</v>
      </c>
      <c r="Y36" s="191">
        <f t="shared" si="20"/>
        <v>0</v>
      </c>
      <c r="Z36" s="184">
        <f t="shared" si="20"/>
        <v>0</v>
      </c>
      <c r="AA36" s="178">
        <f t="shared" si="20"/>
        <v>13</v>
      </c>
      <c r="AB36" s="184">
        <f t="shared" si="20"/>
        <v>0</v>
      </c>
      <c r="AC36" s="108">
        <f t="shared" si="20"/>
        <v>0</v>
      </c>
      <c r="AD36" s="178">
        <f t="shared" si="20"/>
        <v>9</v>
      </c>
      <c r="AE36" s="184">
        <f t="shared" si="20"/>
        <v>0</v>
      </c>
      <c r="AF36" s="108">
        <f t="shared" si="20"/>
        <v>0</v>
      </c>
      <c r="AG36" s="178">
        <f t="shared" si="20"/>
        <v>12</v>
      </c>
      <c r="AH36" s="184">
        <f t="shared" si="20"/>
        <v>0</v>
      </c>
      <c r="AI36" s="108">
        <f t="shared" si="20"/>
        <v>0</v>
      </c>
      <c r="AJ36" s="248">
        <f>AJ606</f>
        <v>7</v>
      </c>
      <c r="AK36" s="185">
        <f>AK606</f>
        <v>0</v>
      </c>
      <c r="AL36" s="186">
        <f>AL606</f>
        <v>0</v>
      </c>
      <c r="AM36" s="110"/>
    </row>
    <row r="37" spans="2:39" s="47" customFormat="1" ht="15" customHeight="1">
      <c r="B37" s="142" t="s">
        <v>6</v>
      </c>
      <c r="C37" s="251">
        <f aca="true" t="shared" si="21" ref="C37:AI37">C635</f>
        <v>12</v>
      </c>
      <c r="D37" s="184">
        <f t="shared" si="21"/>
        <v>3</v>
      </c>
      <c r="E37" s="108">
        <f t="shared" si="21"/>
        <v>662</v>
      </c>
      <c r="F37" s="260">
        <f t="shared" si="21"/>
        <v>14</v>
      </c>
      <c r="G37" s="184">
        <f t="shared" si="21"/>
        <v>14</v>
      </c>
      <c r="H37" s="108">
        <f t="shared" si="21"/>
        <v>644</v>
      </c>
      <c r="I37" s="260">
        <f t="shared" si="21"/>
        <v>15</v>
      </c>
      <c r="J37" s="184">
        <f t="shared" si="21"/>
        <v>9</v>
      </c>
      <c r="K37" s="108">
        <f t="shared" si="21"/>
        <v>501</v>
      </c>
      <c r="L37" s="260">
        <f t="shared" si="21"/>
        <v>16</v>
      </c>
      <c r="M37" s="184">
        <f t="shared" si="21"/>
        <v>0</v>
      </c>
      <c r="N37" s="108">
        <f t="shared" si="21"/>
        <v>111</v>
      </c>
      <c r="O37" s="260">
        <f t="shared" si="21"/>
        <v>16</v>
      </c>
      <c r="P37" s="184">
        <f t="shared" si="21"/>
        <v>0</v>
      </c>
      <c r="Q37" s="108">
        <f t="shared" si="21"/>
        <v>16</v>
      </c>
      <c r="R37" s="260">
        <f t="shared" si="21"/>
        <v>18</v>
      </c>
      <c r="S37" s="184">
        <f t="shared" si="21"/>
        <v>0</v>
      </c>
      <c r="T37" s="108">
        <f t="shared" si="21"/>
        <v>7</v>
      </c>
      <c r="U37" s="178">
        <f t="shared" si="21"/>
        <v>7</v>
      </c>
      <c r="V37" s="191">
        <f t="shared" si="21"/>
        <v>0</v>
      </c>
      <c r="W37" s="184">
        <f t="shared" si="21"/>
        <v>15</v>
      </c>
      <c r="X37" s="178">
        <f t="shared" si="21"/>
        <v>24</v>
      </c>
      <c r="Y37" s="191">
        <f t="shared" si="21"/>
        <v>0</v>
      </c>
      <c r="Z37" s="184">
        <f t="shared" si="21"/>
        <v>13</v>
      </c>
      <c r="AA37" s="178">
        <f t="shared" si="21"/>
        <v>15</v>
      </c>
      <c r="AB37" s="184">
        <f t="shared" si="21"/>
        <v>0</v>
      </c>
      <c r="AC37" s="108">
        <f t="shared" si="21"/>
        <v>5</v>
      </c>
      <c r="AD37" s="178">
        <f t="shared" si="21"/>
        <v>15</v>
      </c>
      <c r="AE37" s="184">
        <f t="shared" si="21"/>
        <v>0</v>
      </c>
      <c r="AF37" s="108">
        <f t="shared" si="21"/>
        <v>5</v>
      </c>
      <c r="AG37" s="178">
        <f t="shared" si="21"/>
        <v>26</v>
      </c>
      <c r="AH37" s="184">
        <f t="shared" si="21"/>
        <v>0</v>
      </c>
      <c r="AI37" s="108">
        <f t="shared" si="21"/>
        <v>3</v>
      </c>
      <c r="AJ37" s="248">
        <f>AJ635</f>
        <v>18</v>
      </c>
      <c r="AK37" s="185">
        <f>AK635</f>
        <v>0</v>
      </c>
      <c r="AL37" s="186">
        <f>AL635</f>
        <v>4</v>
      </c>
      <c r="AM37" s="110"/>
    </row>
    <row r="38" spans="2:39" s="47" customFormat="1" ht="15" customHeight="1" thickBot="1">
      <c r="B38" s="145" t="s">
        <v>85</v>
      </c>
      <c r="C38" s="257">
        <f aca="true" t="shared" si="22" ref="C38:AI38">C661</f>
        <v>8</v>
      </c>
      <c r="D38" s="187">
        <f t="shared" si="22"/>
        <v>0</v>
      </c>
      <c r="E38" s="181">
        <f t="shared" si="22"/>
        <v>367</v>
      </c>
      <c r="F38" s="265">
        <f t="shared" si="22"/>
        <v>10</v>
      </c>
      <c r="G38" s="187">
        <f t="shared" si="22"/>
        <v>4</v>
      </c>
      <c r="H38" s="181">
        <f t="shared" si="22"/>
        <v>300</v>
      </c>
      <c r="I38" s="265">
        <f t="shared" si="22"/>
        <v>9</v>
      </c>
      <c r="J38" s="187">
        <f t="shared" si="22"/>
        <v>4</v>
      </c>
      <c r="K38" s="181">
        <f t="shared" si="22"/>
        <v>205</v>
      </c>
      <c r="L38" s="265">
        <f t="shared" si="22"/>
        <v>9</v>
      </c>
      <c r="M38" s="187">
        <f t="shared" si="22"/>
        <v>0</v>
      </c>
      <c r="N38" s="181">
        <f t="shared" si="22"/>
        <v>32</v>
      </c>
      <c r="O38" s="260">
        <f t="shared" si="22"/>
        <v>4</v>
      </c>
      <c r="P38" s="187">
        <f t="shared" si="22"/>
        <v>0</v>
      </c>
      <c r="Q38" s="181">
        <f t="shared" si="22"/>
        <v>15</v>
      </c>
      <c r="R38" s="260">
        <f t="shared" si="22"/>
        <v>13</v>
      </c>
      <c r="S38" s="187">
        <f t="shared" si="22"/>
        <v>0</v>
      </c>
      <c r="T38" s="181">
        <f t="shared" si="22"/>
        <v>21</v>
      </c>
      <c r="U38" s="179">
        <f t="shared" si="22"/>
        <v>14</v>
      </c>
      <c r="V38" s="277">
        <f t="shared" si="22"/>
        <v>0</v>
      </c>
      <c r="W38" s="187">
        <f t="shared" si="22"/>
        <v>32</v>
      </c>
      <c r="X38" s="179">
        <f t="shared" si="22"/>
        <v>14</v>
      </c>
      <c r="Y38" s="277">
        <f t="shared" si="22"/>
        <v>0</v>
      </c>
      <c r="Z38" s="187">
        <f t="shared" si="22"/>
        <v>19</v>
      </c>
      <c r="AA38" s="179">
        <f t="shared" si="22"/>
        <v>10</v>
      </c>
      <c r="AB38" s="187">
        <f t="shared" si="22"/>
        <v>0</v>
      </c>
      <c r="AC38" s="181">
        <f t="shared" si="22"/>
        <v>14</v>
      </c>
      <c r="AD38" s="179">
        <f t="shared" si="22"/>
        <v>12</v>
      </c>
      <c r="AE38" s="187">
        <f t="shared" si="22"/>
        <v>0</v>
      </c>
      <c r="AF38" s="181">
        <f t="shared" si="22"/>
        <v>8</v>
      </c>
      <c r="AG38" s="179">
        <f t="shared" si="22"/>
        <v>6</v>
      </c>
      <c r="AH38" s="187">
        <f t="shared" si="22"/>
        <v>0</v>
      </c>
      <c r="AI38" s="181">
        <f t="shared" si="22"/>
        <v>8</v>
      </c>
      <c r="AJ38" s="248">
        <f>AJ661</f>
        <v>20</v>
      </c>
      <c r="AK38" s="185">
        <f>AK661</f>
        <v>0</v>
      </c>
      <c r="AL38" s="186">
        <f>AL661</f>
        <v>7</v>
      </c>
      <c r="AM38" s="110"/>
    </row>
    <row r="39" spans="2:39" s="47" customFormat="1" ht="15" customHeight="1" thickBot="1">
      <c r="B39" s="72" t="s">
        <v>0</v>
      </c>
      <c r="C39" s="44">
        <f aca="true" t="shared" si="23" ref="C39:AL39">SUM(C19:C38)</f>
        <v>755</v>
      </c>
      <c r="D39" s="267">
        <f t="shared" si="23"/>
        <v>327</v>
      </c>
      <c r="E39" s="268">
        <f t="shared" si="23"/>
        <v>23687</v>
      </c>
      <c r="F39" s="109">
        <f t="shared" si="23"/>
        <v>627</v>
      </c>
      <c r="G39" s="261">
        <f t="shared" si="23"/>
        <v>408</v>
      </c>
      <c r="H39" s="255">
        <f t="shared" si="23"/>
        <v>17880</v>
      </c>
      <c r="I39" s="245">
        <f t="shared" si="23"/>
        <v>533</v>
      </c>
      <c r="J39" s="261">
        <f t="shared" si="23"/>
        <v>182</v>
      </c>
      <c r="K39" s="255">
        <f t="shared" si="23"/>
        <v>12641</v>
      </c>
      <c r="L39" s="44">
        <f t="shared" si="23"/>
        <v>989</v>
      </c>
      <c r="M39" s="254">
        <f t="shared" si="23"/>
        <v>0</v>
      </c>
      <c r="N39" s="255">
        <f t="shared" si="23"/>
        <v>6282</v>
      </c>
      <c r="O39" s="44">
        <f t="shared" si="23"/>
        <v>1040</v>
      </c>
      <c r="P39" s="254">
        <f t="shared" si="23"/>
        <v>13</v>
      </c>
      <c r="Q39" s="255">
        <f t="shared" si="23"/>
        <v>6461</v>
      </c>
      <c r="R39" s="44">
        <f t="shared" si="23"/>
        <v>1074</v>
      </c>
      <c r="S39" s="247">
        <f t="shared" si="23"/>
        <v>0</v>
      </c>
      <c r="T39" s="93">
        <f t="shared" si="23"/>
        <v>5432</v>
      </c>
      <c r="U39" s="44">
        <f t="shared" si="23"/>
        <v>1140</v>
      </c>
      <c r="V39" s="247">
        <f t="shared" si="23"/>
        <v>0</v>
      </c>
      <c r="W39" s="93">
        <f t="shared" si="23"/>
        <v>4931</v>
      </c>
      <c r="X39" s="44">
        <f t="shared" si="23"/>
        <v>1171</v>
      </c>
      <c r="Y39" s="247">
        <f t="shared" si="23"/>
        <v>0</v>
      </c>
      <c r="Z39" s="93">
        <f t="shared" si="23"/>
        <v>4797</v>
      </c>
      <c r="AA39" s="44">
        <f t="shared" si="23"/>
        <v>1052</v>
      </c>
      <c r="AB39" s="247">
        <f t="shared" si="23"/>
        <v>0</v>
      </c>
      <c r="AC39" s="93">
        <f t="shared" si="23"/>
        <v>3626</v>
      </c>
      <c r="AD39" s="44">
        <f t="shared" si="23"/>
        <v>977</v>
      </c>
      <c r="AE39" s="247">
        <f t="shared" si="23"/>
        <v>0</v>
      </c>
      <c r="AF39" s="93">
        <f t="shared" si="23"/>
        <v>3820</v>
      </c>
      <c r="AG39" s="44">
        <f t="shared" si="23"/>
        <v>1041</v>
      </c>
      <c r="AH39" s="247">
        <f t="shared" si="23"/>
        <v>0</v>
      </c>
      <c r="AI39" s="246">
        <f t="shared" si="23"/>
        <v>4034</v>
      </c>
      <c r="AJ39" s="44">
        <f t="shared" si="23"/>
        <v>793</v>
      </c>
      <c r="AK39" s="247">
        <f t="shared" si="23"/>
        <v>0</v>
      </c>
      <c r="AL39" s="93">
        <f t="shared" si="23"/>
        <v>2566</v>
      </c>
      <c r="AM39" s="110"/>
    </row>
    <row r="41" spans="2:5" ht="12.75">
      <c r="B41" s="387"/>
      <c r="C41" s="387"/>
      <c r="D41" s="387"/>
      <c r="E41" s="387"/>
    </row>
    <row r="42" ht="12.75">
      <c r="E42" s="62"/>
    </row>
    <row r="43" spans="2:5" ht="12.75">
      <c r="B43" s="383" t="s">
        <v>8</v>
      </c>
      <c r="C43" s="383"/>
      <c r="D43" s="383"/>
      <c r="E43" s="383"/>
    </row>
    <row r="44" spans="2:5" ht="12.75">
      <c r="B44" s="73"/>
      <c r="C44" s="73"/>
      <c r="D44" s="73"/>
      <c r="E44" s="73"/>
    </row>
    <row r="45" spans="2:5" ht="12.75">
      <c r="B45" s="383" t="s">
        <v>41</v>
      </c>
      <c r="C45" s="383"/>
      <c r="D45" s="383"/>
      <c r="E45" s="383"/>
    </row>
    <row r="46" spans="2:5" ht="12.75">
      <c r="B46" s="73"/>
      <c r="C46" s="73"/>
      <c r="D46" s="73"/>
      <c r="E46" s="73"/>
    </row>
    <row r="47" spans="2:5" ht="12.75">
      <c r="B47" s="383" t="s">
        <v>86</v>
      </c>
      <c r="C47" s="383"/>
      <c r="D47" s="383"/>
      <c r="E47" s="383"/>
    </row>
    <row r="48" spans="2:5" ht="12.75">
      <c r="B48" s="73"/>
      <c r="C48" s="73"/>
      <c r="D48" s="73"/>
      <c r="E48" s="73"/>
    </row>
    <row r="49" spans="2:5" ht="12.75">
      <c r="B49" s="383">
        <v>2016</v>
      </c>
      <c r="C49" s="383"/>
      <c r="D49" s="383"/>
      <c r="E49" s="383"/>
    </row>
    <row r="50" spans="2:5" ht="13.5" thickBot="1">
      <c r="B50" s="4"/>
      <c r="C50" s="4"/>
      <c r="D50" s="4"/>
      <c r="E50" s="4"/>
    </row>
    <row r="51" spans="2:38" s="47" customFormat="1" ht="21" customHeight="1" thickBot="1">
      <c r="B51" s="377" t="s">
        <v>394</v>
      </c>
      <c r="C51" s="393" t="s">
        <v>7</v>
      </c>
      <c r="D51" s="394"/>
      <c r="E51" s="395"/>
      <c r="F51" s="393" t="s">
        <v>433</v>
      </c>
      <c r="G51" s="394"/>
      <c r="H51" s="395"/>
      <c r="I51" s="393" t="s">
        <v>434</v>
      </c>
      <c r="J51" s="394"/>
      <c r="K51" s="395"/>
      <c r="L51" s="393" t="s">
        <v>435</v>
      </c>
      <c r="M51" s="394"/>
      <c r="N51" s="395"/>
      <c r="O51" s="393" t="s">
        <v>436</v>
      </c>
      <c r="P51" s="394"/>
      <c r="Q51" s="395"/>
      <c r="R51" s="393" t="s">
        <v>437</v>
      </c>
      <c r="S51" s="394"/>
      <c r="T51" s="395"/>
      <c r="U51" s="393" t="s">
        <v>438</v>
      </c>
      <c r="V51" s="394"/>
      <c r="W51" s="395"/>
      <c r="X51" s="393" t="s">
        <v>439</v>
      </c>
      <c r="Y51" s="394"/>
      <c r="Z51" s="395"/>
      <c r="AA51" s="393" t="s">
        <v>440</v>
      </c>
      <c r="AB51" s="394"/>
      <c r="AC51" s="395"/>
      <c r="AD51" s="393" t="s">
        <v>441</v>
      </c>
      <c r="AE51" s="394"/>
      <c r="AF51" s="395"/>
      <c r="AG51" s="393" t="s">
        <v>442</v>
      </c>
      <c r="AH51" s="394"/>
      <c r="AI51" s="395"/>
      <c r="AJ51" s="393" t="s">
        <v>443</v>
      </c>
      <c r="AK51" s="394"/>
      <c r="AL51" s="395"/>
    </row>
    <row r="52" spans="2:38" s="47" customFormat="1" ht="12.75" customHeight="1">
      <c r="B52" s="378"/>
      <c r="C52" s="367" t="s">
        <v>66</v>
      </c>
      <c r="D52" s="370" t="s">
        <v>67</v>
      </c>
      <c r="E52" s="371"/>
      <c r="F52" s="367" t="s">
        <v>66</v>
      </c>
      <c r="G52" s="370" t="s">
        <v>67</v>
      </c>
      <c r="H52" s="371"/>
      <c r="I52" s="367" t="s">
        <v>66</v>
      </c>
      <c r="J52" s="370" t="s">
        <v>67</v>
      </c>
      <c r="K52" s="371"/>
      <c r="L52" s="367" t="s">
        <v>66</v>
      </c>
      <c r="M52" s="370" t="s">
        <v>67</v>
      </c>
      <c r="N52" s="371"/>
      <c r="O52" s="367" t="s">
        <v>66</v>
      </c>
      <c r="P52" s="370" t="s">
        <v>67</v>
      </c>
      <c r="Q52" s="371"/>
      <c r="R52" s="367" t="s">
        <v>66</v>
      </c>
      <c r="S52" s="370" t="s">
        <v>67</v>
      </c>
      <c r="T52" s="371"/>
      <c r="U52" s="367" t="s">
        <v>66</v>
      </c>
      <c r="V52" s="370" t="s">
        <v>67</v>
      </c>
      <c r="W52" s="371"/>
      <c r="X52" s="367" t="s">
        <v>66</v>
      </c>
      <c r="Y52" s="370" t="s">
        <v>67</v>
      </c>
      <c r="Z52" s="371"/>
      <c r="AA52" s="367" t="s">
        <v>66</v>
      </c>
      <c r="AB52" s="370" t="s">
        <v>67</v>
      </c>
      <c r="AC52" s="371"/>
      <c r="AD52" s="367" t="s">
        <v>66</v>
      </c>
      <c r="AE52" s="370" t="s">
        <v>67</v>
      </c>
      <c r="AF52" s="371"/>
      <c r="AG52" s="367" t="s">
        <v>66</v>
      </c>
      <c r="AH52" s="370" t="s">
        <v>67</v>
      </c>
      <c r="AI52" s="371"/>
      <c r="AJ52" s="367" t="s">
        <v>66</v>
      </c>
      <c r="AK52" s="370" t="s">
        <v>67</v>
      </c>
      <c r="AL52" s="371"/>
    </row>
    <row r="53" spans="2:38" s="47" customFormat="1" ht="12.75">
      <c r="B53" s="379"/>
      <c r="C53" s="386"/>
      <c r="D53" s="392"/>
      <c r="E53" s="389"/>
      <c r="F53" s="386"/>
      <c r="G53" s="392"/>
      <c r="H53" s="389"/>
      <c r="I53" s="386"/>
      <c r="J53" s="392"/>
      <c r="K53" s="389"/>
      <c r="L53" s="386"/>
      <c r="M53" s="392"/>
      <c r="N53" s="389"/>
      <c r="O53" s="386"/>
      <c r="P53" s="392"/>
      <c r="Q53" s="389"/>
      <c r="R53" s="386"/>
      <c r="S53" s="392"/>
      <c r="T53" s="389"/>
      <c r="U53" s="386"/>
      <c r="V53" s="392"/>
      <c r="W53" s="389"/>
      <c r="X53" s="386"/>
      <c r="Y53" s="392"/>
      <c r="Z53" s="389"/>
      <c r="AA53" s="386"/>
      <c r="AB53" s="392"/>
      <c r="AC53" s="389"/>
      <c r="AD53" s="386"/>
      <c r="AE53" s="392"/>
      <c r="AF53" s="389"/>
      <c r="AG53" s="386"/>
      <c r="AH53" s="392"/>
      <c r="AI53" s="389"/>
      <c r="AJ53" s="386"/>
      <c r="AK53" s="392"/>
      <c r="AL53" s="389"/>
    </row>
    <row r="54" spans="2:38" s="47" customFormat="1" ht="26.25" thickBot="1">
      <c r="B54" s="380"/>
      <c r="C54" s="74" t="s">
        <v>68</v>
      </c>
      <c r="D54" s="63" t="s">
        <v>69</v>
      </c>
      <c r="E54" s="64" t="s">
        <v>70</v>
      </c>
      <c r="F54" s="74" t="s">
        <v>68</v>
      </c>
      <c r="G54" s="63" t="s">
        <v>69</v>
      </c>
      <c r="H54" s="64" t="s">
        <v>70</v>
      </c>
      <c r="I54" s="74" t="s">
        <v>68</v>
      </c>
      <c r="J54" s="63" t="s">
        <v>69</v>
      </c>
      <c r="K54" s="64" t="s">
        <v>70</v>
      </c>
      <c r="L54" s="74" t="s">
        <v>68</v>
      </c>
      <c r="M54" s="63" t="s">
        <v>69</v>
      </c>
      <c r="N54" s="64" t="s">
        <v>70</v>
      </c>
      <c r="O54" s="74" t="s">
        <v>68</v>
      </c>
      <c r="P54" s="63" t="s">
        <v>69</v>
      </c>
      <c r="Q54" s="64" t="s">
        <v>70</v>
      </c>
      <c r="R54" s="74" t="s">
        <v>68</v>
      </c>
      <c r="S54" s="63" t="s">
        <v>69</v>
      </c>
      <c r="T54" s="64" t="s">
        <v>70</v>
      </c>
      <c r="U54" s="74" t="s">
        <v>68</v>
      </c>
      <c r="V54" s="63" t="s">
        <v>69</v>
      </c>
      <c r="W54" s="64" t="s">
        <v>70</v>
      </c>
      <c r="X54" s="74" t="s">
        <v>68</v>
      </c>
      <c r="Y54" s="63" t="s">
        <v>69</v>
      </c>
      <c r="Z54" s="64" t="s">
        <v>70</v>
      </c>
      <c r="AA54" s="74" t="s">
        <v>68</v>
      </c>
      <c r="AB54" s="63" t="s">
        <v>69</v>
      </c>
      <c r="AC54" s="64" t="s">
        <v>70</v>
      </c>
      <c r="AD54" s="74" t="s">
        <v>68</v>
      </c>
      <c r="AE54" s="63" t="s">
        <v>69</v>
      </c>
      <c r="AF54" s="64" t="s">
        <v>70</v>
      </c>
      <c r="AG54" s="74" t="s">
        <v>68</v>
      </c>
      <c r="AH54" s="63" t="s">
        <v>69</v>
      </c>
      <c r="AI54" s="64" t="s">
        <v>70</v>
      </c>
      <c r="AJ54" s="74" t="s">
        <v>68</v>
      </c>
      <c r="AK54" s="63" t="s">
        <v>69</v>
      </c>
      <c r="AL54" s="64" t="s">
        <v>70</v>
      </c>
    </row>
    <row r="55" spans="2:38" s="47" customFormat="1" ht="15" customHeight="1">
      <c r="B55" s="138" t="s">
        <v>113</v>
      </c>
      <c r="C55" s="196">
        <v>0</v>
      </c>
      <c r="D55" s="104">
        <v>0</v>
      </c>
      <c r="E55" s="188">
        <v>9</v>
      </c>
      <c r="F55" s="196">
        <v>0</v>
      </c>
      <c r="G55" s="104">
        <v>0</v>
      </c>
      <c r="H55" s="188">
        <v>2</v>
      </c>
      <c r="I55" s="196">
        <v>0</v>
      </c>
      <c r="J55" s="104">
        <v>0</v>
      </c>
      <c r="K55" s="188">
        <v>5</v>
      </c>
      <c r="L55" s="177">
        <v>0</v>
      </c>
      <c r="M55" s="182">
        <v>0</v>
      </c>
      <c r="N55" s="183">
        <v>0</v>
      </c>
      <c r="O55" s="177">
        <v>1</v>
      </c>
      <c r="P55" s="182">
        <v>0</v>
      </c>
      <c r="Q55" s="183">
        <v>0</v>
      </c>
      <c r="R55" s="177">
        <v>0</v>
      </c>
      <c r="S55" s="182">
        <v>0</v>
      </c>
      <c r="T55" s="183">
        <v>0</v>
      </c>
      <c r="U55" s="272">
        <v>0</v>
      </c>
      <c r="V55" s="189">
        <v>0</v>
      </c>
      <c r="W55" s="190">
        <v>0</v>
      </c>
      <c r="X55" s="272">
        <v>0</v>
      </c>
      <c r="Y55" s="189">
        <v>0</v>
      </c>
      <c r="Z55" s="190">
        <v>0</v>
      </c>
      <c r="AA55" s="272">
        <v>0</v>
      </c>
      <c r="AB55" s="189">
        <v>0</v>
      </c>
      <c r="AC55" s="190">
        <v>0</v>
      </c>
      <c r="AD55" s="272">
        <v>0</v>
      </c>
      <c r="AE55" s="189">
        <v>0</v>
      </c>
      <c r="AF55" s="190">
        <v>0</v>
      </c>
      <c r="AG55" s="272">
        <v>0</v>
      </c>
      <c r="AH55" s="189">
        <v>0</v>
      </c>
      <c r="AI55" s="88">
        <v>0</v>
      </c>
      <c r="AJ55" s="272">
        <v>0</v>
      </c>
      <c r="AK55" s="87">
        <v>0</v>
      </c>
      <c r="AL55" s="88">
        <v>0</v>
      </c>
    </row>
    <row r="56" spans="2:38" s="47" customFormat="1" ht="15" customHeight="1">
      <c r="B56" s="140" t="s">
        <v>114</v>
      </c>
      <c r="C56" s="178">
        <v>5</v>
      </c>
      <c r="D56" s="107">
        <v>4</v>
      </c>
      <c r="E56" s="191">
        <v>125</v>
      </c>
      <c r="F56" s="178">
        <v>3</v>
      </c>
      <c r="G56" s="107">
        <v>3</v>
      </c>
      <c r="H56" s="191">
        <v>109</v>
      </c>
      <c r="I56" s="178">
        <v>0</v>
      </c>
      <c r="J56" s="107">
        <v>0</v>
      </c>
      <c r="K56" s="191">
        <v>70</v>
      </c>
      <c r="L56" s="196">
        <v>3</v>
      </c>
      <c r="M56" s="107">
        <v>0</v>
      </c>
      <c r="N56" s="108">
        <v>0</v>
      </c>
      <c r="O56" s="196">
        <v>1</v>
      </c>
      <c r="P56" s="107">
        <v>0</v>
      </c>
      <c r="Q56" s="108">
        <v>0</v>
      </c>
      <c r="R56" s="196">
        <v>5</v>
      </c>
      <c r="S56" s="107">
        <v>0</v>
      </c>
      <c r="T56" s="108">
        <v>0</v>
      </c>
      <c r="U56" s="273">
        <v>3</v>
      </c>
      <c r="V56" s="192">
        <v>0</v>
      </c>
      <c r="W56" s="193">
        <v>0</v>
      </c>
      <c r="X56" s="273">
        <v>7</v>
      </c>
      <c r="Y56" s="192">
        <v>0</v>
      </c>
      <c r="Z56" s="193">
        <v>0</v>
      </c>
      <c r="AA56" s="273">
        <v>3</v>
      </c>
      <c r="AB56" s="192">
        <v>0</v>
      </c>
      <c r="AC56" s="193">
        <v>0</v>
      </c>
      <c r="AD56" s="273">
        <v>3</v>
      </c>
      <c r="AE56" s="192">
        <v>0</v>
      </c>
      <c r="AF56" s="193">
        <v>0</v>
      </c>
      <c r="AG56" s="273">
        <v>5</v>
      </c>
      <c r="AH56" s="192">
        <v>0</v>
      </c>
      <c r="AI56" s="80">
        <v>0</v>
      </c>
      <c r="AJ56" s="274">
        <v>1</v>
      </c>
      <c r="AK56" s="79">
        <v>0</v>
      </c>
      <c r="AL56" s="80">
        <v>0</v>
      </c>
    </row>
    <row r="57" spans="2:38" s="47" customFormat="1" ht="15" customHeight="1">
      <c r="B57" s="140" t="s">
        <v>115</v>
      </c>
      <c r="C57" s="178">
        <v>0</v>
      </c>
      <c r="D57" s="107">
        <v>0</v>
      </c>
      <c r="E57" s="191">
        <v>11</v>
      </c>
      <c r="F57" s="178">
        <v>1</v>
      </c>
      <c r="G57" s="107">
        <v>0</v>
      </c>
      <c r="H57" s="191">
        <v>8</v>
      </c>
      <c r="I57" s="178">
        <v>1</v>
      </c>
      <c r="J57" s="107">
        <v>1</v>
      </c>
      <c r="K57" s="191">
        <v>7</v>
      </c>
      <c r="L57" s="196">
        <v>1</v>
      </c>
      <c r="M57" s="182">
        <v>0</v>
      </c>
      <c r="N57" s="183">
        <v>0</v>
      </c>
      <c r="O57" s="196">
        <v>0</v>
      </c>
      <c r="P57" s="182">
        <v>0</v>
      </c>
      <c r="Q57" s="183">
        <v>0</v>
      </c>
      <c r="R57" s="196">
        <v>0</v>
      </c>
      <c r="S57" s="182">
        <v>0</v>
      </c>
      <c r="T57" s="183">
        <v>0</v>
      </c>
      <c r="U57" s="273">
        <v>1</v>
      </c>
      <c r="V57" s="189">
        <v>0</v>
      </c>
      <c r="W57" s="190">
        <v>0</v>
      </c>
      <c r="X57" s="273">
        <v>1</v>
      </c>
      <c r="Y57" s="189">
        <v>0</v>
      </c>
      <c r="Z57" s="190">
        <v>0</v>
      </c>
      <c r="AA57" s="273">
        <v>1</v>
      </c>
      <c r="AB57" s="189">
        <v>0</v>
      </c>
      <c r="AC57" s="190">
        <v>0</v>
      </c>
      <c r="AD57" s="273">
        <v>0</v>
      </c>
      <c r="AE57" s="189">
        <v>0</v>
      </c>
      <c r="AF57" s="190">
        <v>0</v>
      </c>
      <c r="AG57" s="273">
        <v>0</v>
      </c>
      <c r="AH57" s="189">
        <v>0</v>
      </c>
      <c r="AI57" s="88">
        <v>0</v>
      </c>
      <c r="AJ57" s="274">
        <v>0</v>
      </c>
      <c r="AK57" s="87">
        <v>0</v>
      </c>
      <c r="AL57" s="88">
        <v>0</v>
      </c>
    </row>
    <row r="58" spans="2:38" s="47" customFormat="1" ht="15" customHeight="1">
      <c r="B58" s="140" t="s">
        <v>116</v>
      </c>
      <c r="C58" s="178">
        <v>1</v>
      </c>
      <c r="D58" s="107">
        <v>1</v>
      </c>
      <c r="E58" s="191">
        <v>18</v>
      </c>
      <c r="F58" s="178">
        <v>3</v>
      </c>
      <c r="G58" s="107">
        <v>5</v>
      </c>
      <c r="H58" s="191">
        <v>16</v>
      </c>
      <c r="I58" s="178">
        <v>1</v>
      </c>
      <c r="J58" s="107">
        <v>0</v>
      </c>
      <c r="K58" s="191">
        <v>10</v>
      </c>
      <c r="L58" s="178">
        <v>0</v>
      </c>
      <c r="M58" s="107">
        <v>0</v>
      </c>
      <c r="N58" s="108">
        <v>0</v>
      </c>
      <c r="O58" s="178">
        <v>0</v>
      </c>
      <c r="P58" s="107">
        <v>0</v>
      </c>
      <c r="Q58" s="108">
        <v>0</v>
      </c>
      <c r="R58" s="178">
        <v>7</v>
      </c>
      <c r="S58" s="107">
        <v>0</v>
      </c>
      <c r="T58" s="108">
        <v>0</v>
      </c>
      <c r="U58" s="195">
        <v>1</v>
      </c>
      <c r="V58" s="192">
        <v>0</v>
      </c>
      <c r="W58" s="193">
        <v>0</v>
      </c>
      <c r="X58" s="195">
        <v>2</v>
      </c>
      <c r="Y58" s="192">
        <v>0</v>
      </c>
      <c r="Z58" s="193">
        <v>0</v>
      </c>
      <c r="AA58" s="195">
        <v>3</v>
      </c>
      <c r="AB58" s="192">
        <v>0</v>
      </c>
      <c r="AC58" s="193">
        <v>0</v>
      </c>
      <c r="AD58" s="195">
        <v>1</v>
      </c>
      <c r="AE58" s="192">
        <v>0</v>
      </c>
      <c r="AF58" s="193">
        <v>0</v>
      </c>
      <c r="AG58" s="195">
        <v>1</v>
      </c>
      <c r="AH58" s="192">
        <v>0</v>
      </c>
      <c r="AI58" s="80">
        <v>0</v>
      </c>
      <c r="AJ58" s="78">
        <v>0</v>
      </c>
      <c r="AK58" s="79">
        <v>0</v>
      </c>
      <c r="AL58" s="80">
        <v>0</v>
      </c>
    </row>
    <row r="59" spans="2:38" s="47" customFormat="1" ht="15" customHeight="1">
      <c r="B59" s="140" t="s">
        <v>117</v>
      </c>
      <c r="C59" s="178">
        <v>0</v>
      </c>
      <c r="D59" s="107">
        <v>0</v>
      </c>
      <c r="E59" s="191">
        <v>0</v>
      </c>
      <c r="F59" s="178">
        <v>0</v>
      </c>
      <c r="G59" s="107">
        <v>0</v>
      </c>
      <c r="H59" s="191">
        <v>0</v>
      </c>
      <c r="I59" s="178">
        <v>0</v>
      </c>
      <c r="J59" s="107">
        <v>0</v>
      </c>
      <c r="K59" s="191">
        <v>3</v>
      </c>
      <c r="L59" s="178">
        <v>0</v>
      </c>
      <c r="M59" s="107">
        <v>0</v>
      </c>
      <c r="N59" s="108">
        <v>0</v>
      </c>
      <c r="O59" s="178">
        <v>0</v>
      </c>
      <c r="P59" s="107">
        <v>0</v>
      </c>
      <c r="Q59" s="108">
        <v>0</v>
      </c>
      <c r="R59" s="178">
        <v>0</v>
      </c>
      <c r="S59" s="107">
        <v>0</v>
      </c>
      <c r="T59" s="108">
        <v>0</v>
      </c>
      <c r="U59" s="195">
        <v>0</v>
      </c>
      <c r="V59" s="192">
        <v>0</v>
      </c>
      <c r="W59" s="193">
        <v>0</v>
      </c>
      <c r="X59" s="195">
        <v>0</v>
      </c>
      <c r="Y59" s="192">
        <v>0</v>
      </c>
      <c r="Z59" s="193">
        <v>0</v>
      </c>
      <c r="AA59" s="195">
        <v>1</v>
      </c>
      <c r="AB59" s="192">
        <v>0</v>
      </c>
      <c r="AC59" s="193">
        <v>0</v>
      </c>
      <c r="AD59" s="195">
        <v>0</v>
      </c>
      <c r="AE59" s="192">
        <v>0</v>
      </c>
      <c r="AF59" s="193">
        <v>0</v>
      </c>
      <c r="AG59" s="195">
        <v>0</v>
      </c>
      <c r="AH59" s="192">
        <v>0</v>
      </c>
      <c r="AI59" s="80">
        <v>0</v>
      </c>
      <c r="AJ59" s="78">
        <v>0</v>
      </c>
      <c r="AK59" s="79">
        <v>0</v>
      </c>
      <c r="AL59" s="80">
        <v>0</v>
      </c>
    </row>
    <row r="60" spans="2:38" s="47" customFormat="1" ht="15" customHeight="1">
      <c r="B60" s="140" t="s">
        <v>118</v>
      </c>
      <c r="C60" s="178">
        <v>26</v>
      </c>
      <c r="D60" s="107">
        <v>19</v>
      </c>
      <c r="E60" s="191">
        <v>691</v>
      </c>
      <c r="F60" s="178">
        <v>11</v>
      </c>
      <c r="G60" s="107">
        <v>14</v>
      </c>
      <c r="H60" s="191">
        <v>540</v>
      </c>
      <c r="I60" s="178">
        <v>19</v>
      </c>
      <c r="J60" s="107">
        <v>10</v>
      </c>
      <c r="K60" s="191">
        <v>345</v>
      </c>
      <c r="L60" s="178">
        <v>16</v>
      </c>
      <c r="M60" s="107">
        <v>0</v>
      </c>
      <c r="N60" s="108">
        <v>0</v>
      </c>
      <c r="O60" s="178">
        <v>12</v>
      </c>
      <c r="P60" s="107">
        <v>0</v>
      </c>
      <c r="Q60" s="108">
        <v>0</v>
      </c>
      <c r="R60" s="178">
        <v>13</v>
      </c>
      <c r="S60" s="107">
        <v>0</v>
      </c>
      <c r="T60" s="108">
        <v>0</v>
      </c>
      <c r="U60" s="195">
        <v>10</v>
      </c>
      <c r="V60" s="192">
        <v>0</v>
      </c>
      <c r="W60" s="193">
        <v>0</v>
      </c>
      <c r="X60" s="195">
        <v>10</v>
      </c>
      <c r="Y60" s="192">
        <v>0</v>
      </c>
      <c r="Z60" s="193">
        <v>0</v>
      </c>
      <c r="AA60" s="195">
        <v>19</v>
      </c>
      <c r="AB60" s="192">
        <v>0</v>
      </c>
      <c r="AC60" s="193">
        <v>0</v>
      </c>
      <c r="AD60" s="195">
        <v>14</v>
      </c>
      <c r="AE60" s="192">
        <v>0</v>
      </c>
      <c r="AF60" s="193">
        <v>0</v>
      </c>
      <c r="AG60" s="195">
        <v>16</v>
      </c>
      <c r="AH60" s="192">
        <v>0</v>
      </c>
      <c r="AI60" s="80">
        <v>0</v>
      </c>
      <c r="AJ60" s="78">
        <v>8</v>
      </c>
      <c r="AK60" s="79">
        <v>0</v>
      </c>
      <c r="AL60" s="80">
        <v>0</v>
      </c>
    </row>
    <row r="61" spans="2:38" s="47" customFormat="1" ht="15" customHeight="1">
      <c r="B61" s="140" t="s">
        <v>119</v>
      </c>
      <c r="C61" s="178">
        <v>1</v>
      </c>
      <c r="D61" s="107">
        <v>0</v>
      </c>
      <c r="E61" s="191">
        <v>18</v>
      </c>
      <c r="F61" s="178">
        <v>1</v>
      </c>
      <c r="G61" s="107">
        <v>0</v>
      </c>
      <c r="H61" s="69">
        <v>25</v>
      </c>
      <c r="I61" s="178">
        <v>0</v>
      </c>
      <c r="J61" s="107">
        <v>0</v>
      </c>
      <c r="K61" s="69">
        <v>24</v>
      </c>
      <c r="L61" s="178">
        <v>0</v>
      </c>
      <c r="M61" s="107">
        <v>0</v>
      </c>
      <c r="N61" s="108">
        <v>19</v>
      </c>
      <c r="O61" s="178">
        <v>1</v>
      </c>
      <c r="P61" s="107">
        <v>0</v>
      </c>
      <c r="Q61" s="108">
        <v>27</v>
      </c>
      <c r="R61" s="178">
        <v>0</v>
      </c>
      <c r="S61" s="107">
        <v>0</v>
      </c>
      <c r="T61" s="108">
        <v>20</v>
      </c>
      <c r="U61" s="195">
        <v>0</v>
      </c>
      <c r="V61" s="192">
        <v>0</v>
      </c>
      <c r="W61" s="193">
        <v>17</v>
      </c>
      <c r="X61" s="195">
        <v>0</v>
      </c>
      <c r="Y61" s="192">
        <v>0</v>
      </c>
      <c r="Z61" s="193">
        <v>28</v>
      </c>
      <c r="AA61" s="195">
        <v>1</v>
      </c>
      <c r="AB61" s="192">
        <v>0</v>
      </c>
      <c r="AC61" s="193">
        <v>23</v>
      </c>
      <c r="AD61" s="195">
        <v>0</v>
      </c>
      <c r="AE61" s="192">
        <v>0</v>
      </c>
      <c r="AF61" s="193">
        <v>11</v>
      </c>
      <c r="AG61" s="195">
        <v>0</v>
      </c>
      <c r="AH61" s="192">
        <v>0</v>
      </c>
      <c r="AI61" s="80">
        <v>11</v>
      </c>
      <c r="AJ61" s="78">
        <v>0</v>
      </c>
      <c r="AK61" s="79">
        <v>0</v>
      </c>
      <c r="AL61" s="80">
        <v>12</v>
      </c>
    </row>
    <row r="62" spans="2:38" s="47" customFormat="1" ht="15" customHeight="1">
      <c r="B62" s="140" t="s">
        <v>120</v>
      </c>
      <c r="C62" s="178">
        <v>0</v>
      </c>
      <c r="D62" s="107">
        <v>0</v>
      </c>
      <c r="E62" s="191">
        <v>25</v>
      </c>
      <c r="F62" s="271">
        <v>0</v>
      </c>
      <c r="G62" s="68">
        <v>0</v>
      </c>
      <c r="H62" s="69">
        <v>23</v>
      </c>
      <c r="I62" s="271">
        <v>0</v>
      </c>
      <c r="J62" s="68">
        <v>0</v>
      </c>
      <c r="K62" s="69">
        <v>21</v>
      </c>
      <c r="L62" s="178">
        <v>0</v>
      </c>
      <c r="M62" s="107">
        <v>0</v>
      </c>
      <c r="N62" s="108">
        <v>10</v>
      </c>
      <c r="O62" s="178">
        <v>0</v>
      </c>
      <c r="P62" s="107">
        <v>0</v>
      </c>
      <c r="Q62" s="108">
        <v>11</v>
      </c>
      <c r="R62" s="178">
        <v>2</v>
      </c>
      <c r="S62" s="107">
        <v>0</v>
      </c>
      <c r="T62" s="108">
        <v>47</v>
      </c>
      <c r="U62" s="195">
        <v>0</v>
      </c>
      <c r="V62" s="192">
        <v>0</v>
      </c>
      <c r="W62" s="193">
        <v>36</v>
      </c>
      <c r="X62" s="195">
        <v>0</v>
      </c>
      <c r="Y62" s="192">
        <v>0</v>
      </c>
      <c r="Z62" s="193">
        <v>39</v>
      </c>
      <c r="AA62" s="195">
        <v>0</v>
      </c>
      <c r="AB62" s="192">
        <v>0</v>
      </c>
      <c r="AC62" s="193">
        <v>25</v>
      </c>
      <c r="AD62" s="195">
        <v>0</v>
      </c>
      <c r="AE62" s="192">
        <v>0</v>
      </c>
      <c r="AF62" s="193">
        <v>48</v>
      </c>
      <c r="AG62" s="195">
        <v>0</v>
      </c>
      <c r="AH62" s="192">
        <v>0</v>
      </c>
      <c r="AI62" s="80">
        <v>25</v>
      </c>
      <c r="AJ62" s="78">
        <v>0</v>
      </c>
      <c r="AK62" s="79">
        <v>0</v>
      </c>
      <c r="AL62" s="80">
        <v>25</v>
      </c>
    </row>
    <row r="63" spans="2:38" s="47" customFormat="1" ht="15" customHeight="1">
      <c r="B63" s="140" t="s">
        <v>121</v>
      </c>
      <c r="C63" s="271">
        <v>0</v>
      </c>
      <c r="D63" s="68">
        <v>0</v>
      </c>
      <c r="E63" s="69">
        <v>60</v>
      </c>
      <c r="F63" s="271">
        <v>0</v>
      </c>
      <c r="G63" s="68">
        <v>0</v>
      </c>
      <c r="H63" s="69">
        <v>39</v>
      </c>
      <c r="I63" s="271">
        <v>0</v>
      </c>
      <c r="J63" s="68">
        <v>0</v>
      </c>
      <c r="K63" s="69">
        <v>33</v>
      </c>
      <c r="L63" s="178">
        <v>1</v>
      </c>
      <c r="M63" s="107">
        <v>0</v>
      </c>
      <c r="N63" s="108">
        <v>0</v>
      </c>
      <c r="O63" s="178">
        <v>0</v>
      </c>
      <c r="P63" s="107">
        <v>0</v>
      </c>
      <c r="Q63" s="108">
        <v>0</v>
      </c>
      <c r="R63" s="178">
        <v>0</v>
      </c>
      <c r="S63" s="107">
        <v>0</v>
      </c>
      <c r="T63" s="108">
        <v>0</v>
      </c>
      <c r="U63" s="195">
        <v>0</v>
      </c>
      <c r="V63" s="192">
        <v>0</v>
      </c>
      <c r="W63" s="193">
        <v>0</v>
      </c>
      <c r="X63" s="195">
        <v>0</v>
      </c>
      <c r="Y63" s="192">
        <v>0</v>
      </c>
      <c r="Z63" s="193">
        <v>0</v>
      </c>
      <c r="AA63" s="195">
        <v>0</v>
      </c>
      <c r="AB63" s="192">
        <v>0</v>
      </c>
      <c r="AC63" s="193">
        <v>0</v>
      </c>
      <c r="AD63" s="195">
        <v>1</v>
      </c>
      <c r="AE63" s="192">
        <v>0</v>
      </c>
      <c r="AF63" s="193">
        <v>0</v>
      </c>
      <c r="AG63" s="195">
        <v>0</v>
      </c>
      <c r="AH63" s="192">
        <v>0</v>
      </c>
      <c r="AI63" s="80">
        <v>0</v>
      </c>
      <c r="AJ63" s="78">
        <v>0</v>
      </c>
      <c r="AK63" s="79">
        <v>0</v>
      </c>
      <c r="AL63" s="80">
        <v>0</v>
      </c>
    </row>
    <row r="64" spans="2:38" s="47" customFormat="1" ht="15" customHeight="1">
      <c r="B64" s="140" t="s">
        <v>122</v>
      </c>
      <c r="C64" s="271">
        <v>1</v>
      </c>
      <c r="D64" s="68">
        <v>1</v>
      </c>
      <c r="E64" s="69">
        <v>73</v>
      </c>
      <c r="F64" s="271">
        <v>1</v>
      </c>
      <c r="G64" s="68">
        <v>0</v>
      </c>
      <c r="H64" s="69">
        <v>57</v>
      </c>
      <c r="I64" s="271">
        <v>0</v>
      </c>
      <c r="J64" s="68">
        <v>0</v>
      </c>
      <c r="K64" s="69">
        <v>50</v>
      </c>
      <c r="L64" s="178">
        <v>0</v>
      </c>
      <c r="M64" s="107">
        <v>0</v>
      </c>
      <c r="N64" s="108">
        <v>27</v>
      </c>
      <c r="O64" s="178">
        <v>0</v>
      </c>
      <c r="P64" s="107">
        <v>0</v>
      </c>
      <c r="Q64" s="108">
        <v>77</v>
      </c>
      <c r="R64" s="178">
        <v>0</v>
      </c>
      <c r="S64" s="107">
        <v>0</v>
      </c>
      <c r="T64" s="108">
        <v>69</v>
      </c>
      <c r="U64" s="195">
        <v>0</v>
      </c>
      <c r="V64" s="192">
        <v>0</v>
      </c>
      <c r="W64" s="193">
        <v>66</v>
      </c>
      <c r="X64" s="195">
        <v>0</v>
      </c>
      <c r="Y64" s="192">
        <v>0</v>
      </c>
      <c r="Z64" s="193">
        <v>56</v>
      </c>
      <c r="AA64" s="195">
        <v>0</v>
      </c>
      <c r="AB64" s="192">
        <v>0</v>
      </c>
      <c r="AC64" s="193">
        <v>14</v>
      </c>
      <c r="AD64" s="195">
        <v>1</v>
      </c>
      <c r="AE64" s="192">
        <v>0</v>
      </c>
      <c r="AF64" s="193">
        <v>88</v>
      </c>
      <c r="AG64" s="195">
        <v>0</v>
      </c>
      <c r="AH64" s="192">
        <v>0</v>
      </c>
      <c r="AI64" s="80">
        <v>1</v>
      </c>
      <c r="AJ64" s="78">
        <v>0</v>
      </c>
      <c r="AK64" s="79">
        <v>0</v>
      </c>
      <c r="AL64" s="80">
        <v>0</v>
      </c>
    </row>
    <row r="65" spans="2:38" s="47" customFormat="1" ht="15" customHeight="1">
      <c r="B65" s="140" t="s">
        <v>123</v>
      </c>
      <c r="C65" s="178">
        <v>1</v>
      </c>
      <c r="D65" s="107">
        <v>1</v>
      </c>
      <c r="E65" s="191">
        <v>30</v>
      </c>
      <c r="F65" s="178">
        <v>1</v>
      </c>
      <c r="G65" s="107">
        <v>1</v>
      </c>
      <c r="H65" s="191">
        <v>35</v>
      </c>
      <c r="I65" s="178">
        <v>1</v>
      </c>
      <c r="J65" s="107">
        <v>1</v>
      </c>
      <c r="K65" s="191">
        <v>8</v>
      </c>
      <c r="L65" s="178">
        <v>2</v>
      </c>
      <c r="M65" s="107">
        <v>0</v>
      </c>
      <c r="N65" s="108">
        <v>0</v>
      </c>
      <c r="O65" s="178">
        <v>1</v>
      </c>
      <c r="P65" s="107">
        <v>0</v>
      </c>
      <c r="Q65" s="108">
        <v>0</v>
      </c>
      <c r="R65" s="178">
        <v>0</v>
      </c>
      <c r="S65" s="107">
        <v>0</v>
      </c>
      <c r="T65" s="108">
        <v>0</v>
      </c>
      <c r="U65" s="195">
        <v>1</v>
      </c>
      <c r="V65" s="192">
        <v>0</v>
      </c>
      <c r="W65" s="193">
        <v>0</v>
      </c>
      <c r="X65" s="195">
        <v>4</v>
      </c>
      <c r="Y65" s="192">
        <v>0</v>
      </c>
      <c r="Z65" s="193">
        <v>0</v>
      </c>
      <c r="AA65" s="195">
        <v>2</v>
      </c>
      <c r="AB65" s="192">
        <v>0</v>
      </c>
      <c r="AC65" s="193">
        <v>0</v>
      </c>
      <c r="AD65" s="195">
        <v>1</v>
      </c>
      <c r="AE65" s="192">
        <v>0</v>
      </c>
      <c r="AF65" s="193">
        <v>0</v>
      </c>
      <c r="AG65" s="195">
        <v>1</v>
      </c>
      <c r="AH65" s="192">
        <v>0</v>
      </c>
      <c r="AI65" s="80">
        <v>0</v>
      </c>
      <c r="AJ65" s="78">
        <v>0</v>
      </c>
      <c r="AK65" s="79">
        <v>0</v>
      </c>
      <c r="AL65" s="80">
        <v>0</v>
      </c>
    </row>
    <row r="66" spans="2:38" s="47" customFormat="1" ht="15" customHeight="1">
      <c r="B66" s="140" t="s">
        <v>124</v>
      </c>
      <c r="C66" s="178">
        <v>0</v>
      </c>
      <c r="D66" s="107">
        <v>0</v>
      </c>
      <c r="E66" s="191">
        <v>48</v>
      </c>
      <c r="F66" s="178">
        <v>0</v>
      </c>
      <c r="G66" s="107">
        <v>0</v>
      </c>
      <c r="H66" s="191">
        <v>12</v>
      </c>
      <c r="I66" s="178">
        <v>1</v>
      </c>
      <c r="J66" s="107">
        <v>0</v>
      </c>
      <c r="K66" s="191">
        <v>23</v>
      </c>
      <c r="L66" s="248">
        <v>0</v>
      </c>
      <c r="M66" s="185">
        <v>0</v>
      </c>
      <c r="N66" s="186">
        <v>24</v>
      </c>
      <c r="O66" s="248">
        <v>0</v>
      </c>
      <c r="P66" s="185">
        <v>0</v>
      </c>
      <c r="Q66" s="186">
        <v>8</v>
      </c>
      <c r="R66" s="248">
        <v>0</v>
      </c>
      <c r="S66" s="185">
        <v>0</v>
      </c>
      <c r="T66" s="186">
        <v>10</v>
      </c>
      <c r="U66" s="248">
        <v>0</v>
      </c>
      <c r="V66" s="185">
        <v>0</v>
      </c>
      <c r="W66" s="186">
        <v>20</v>
      </c>
      <c r="X66" s="248">
        <v>3</v>
      </c>
      <c r="Y66" s="185">
        <v>0</v>
      </c>
      <c r="Z66" s="186">
        <v>5</v>
      </c>
      <c r="AA66" s="248">
        <v>1</v>
      </c>
      <c r="AB66" s="185">
        <v>0</v>
      </c>
      <c r="AC66" s="186">
        <v>11</v>
      </c>
      <c r="AD66" s="248">
        <v>0</v>
      </c>
      <c r="AE66" s="185">
        <v>0</v>
      </c>
      <c r="AF66" s="186">
        <v>8</v>
      </c>
      <c r="AG66" s="248">
        <v>0</v>
      </c>
      <c r="AH66" s="185">
        <v>0</v>
      </c>
      <c r="AI66" s="90">
        <v>7</v>
      </c>
      <c r="AJ66" s="275">
        <v>1</v>
      </c>
      <c r="AK66" s="89">
        <v>0</v>
      </c>
      <c r="AL66" s="90">
        <v>3</v>
      </c>
    </row>
    <row r="67" spans="2:38" s="47" customFormat="1" ht="15" customHeight="1">
      <c r="B67" s="140" t="s">
        <v>125</v>
      </c>
      <c r="C67" s="178">
        <v>0</v>
      </c>
      <c r="D67" s="107">
        <v>0</v>
      </c>
      <c r="E67" s="191">
        <v>0</v>
      </c>
      <c r="F67" s="178">
        <v>0</v>
      </c>
      <c r="G67" s="107">
        <v>0</v>
      </c>
      <c r="H67" s="191">
        <v>0</v>
      </c>
      <c r="I67" s="178">
        <v>0</v>
      </c>
      <c r="J67" s="107">
        <v>0</v>
      </c>
      <c r="K67" s="191">
        <v>0</v>
      </c>
      <c r="L67" s="248">
        <v>0</v>
      </c>
      <c r="M67" s="185">
        <v>0</v>
      </c>
      <c r="N67" s="186">
        <v>0</v>
      </c>
      <c r="O67" s="248">
        <v>1</v>
      </c>
      <c r="P67" s="185">
        <v>0</v>
      </c>
      <c r="Q67" s="186">
        <v>0</v>
      </c>
      <c r="R67" s="248">
        <v>1</v>
      </c>
      <c r="S67" s="185">
        <v>0</v>
      </c>
      <c r="T67" s="186">
        <v>0</v>
      </c>
      <c r="U67" s="248">
        <v>1</v>
      </c>
      <c r="V67" s="185">
        <v>0</v>
      </c>
      <c r="W67" s="186">
        <v>0</v>
      </c>
      <c r="X67" s="248">
        <v>0</v>
      </c>
      <c r="Y67" s="185">
        <v>0</v>
      </c>
      <c r="Z67" s="186">
        <v>0</v>
      </c>
      <c r="AA67" s="248">
        <v>1</v>
      </c>
      <c r="AB67" s="185">
        <v>0</v>
      </c>
      <c r="AC67" s="186">
        <v>0</v>
      </c>
      <c r="AD67" s="248">
        <v>1</v>
      </c>
      <c r="AE67" s="185">
        <v>0</v>
      </c>
      <c r="AF67" s="186">
        <v>0</v>
      </c>
      <c r="AG67" s="248">
        <v>5</v>
      </c>
      <c r="AH67" s="185">
        <v>0</v>
      </c>
      <c r="AI67" s="90">
        <v>0</v>
      </c>
      <c r="AJ67" s="275">
        <v>0</v>
      </c>
      <c r="AK67" s="89">
        <v>0</v>
      </c>
      <c r="AL67" s="90">
        <v>0</v>
      </c>
    </row>
    <row r="68" spans="2:38" s="47" customFormat="1" ht="15" customHeight="1">
      <c r="B68" s="140" t="s">
        <v>126</v>
      </c>
      <c r="C68" s="178">
        <v>1</v>
      </c>
      <c r="D68" s="107">
        <v>1</v>
      </c>
      <c r="E68" s="191">
        <v>30</v>
      </c>
      <c r="F68" s="178">
        <v>1</v>
      </c>
      <c r="G68" s="107">
        <v>0</v>
      </c>
      <c r="H68" s="191">
        <v>29</v>
      </c>
      <c r="I68" s="178">
        <v>1</v>
      </c>
      <c r="J68" s="107">
        <v>1</v>
      </c>
      <c r="K68" s="191">
        <v>6</v>
      </c>
      <c r="L68" s="248">
        <v>1</v>
      </c>
      <c r="M68" s="185">
        <v>0</v>
      </c>
      <c r="N68" s="186">
        <v>0</v>
      </c>
      <c r="O68" s="248">
        <v>1</v>
      </c>
      <c r="P68" s="185">
        <v>0</v>
      </c>
      <c r="Q68" s="186">
        <v>0</v>
      </c>
      <c r="R68" s="248">
        <v>2</v>
      </c>
      <c r="S68" s="185">
        <v>0</v>
      </c>
      <c r="T68" s="186">
        <v>0</v>
      </c>
      <c r="U68" s="248">
        <v>2</v>
      </c>
      <c r="V68" s="185">
        <v>0</v>
      </c>
      <c r="W68" s="186">
        <v>0</v>
      </c>
      <c r="X68" s="248">
        <v>1</v>
      </c>
      <c r="Y68" s="185">
        <v>0</v>
      </c>
      <c r="Z68" s="186">
        <v>0</v>
      </c>
      <c r="AA68" s="248">
        <v>2</v>
      </c>
      <c r="AB68" s="185">
        <v>0</v>
      </c>
      <c r="AC68" s="186">
        <v>0</v>
      </c>
      <c r="AD68" s="248">
        <v>2</v>
      </c>
      <c r="AE68" s="185">
        <v>0</v>
      </c>
      <c r="AF68" s="186">
        <v>0</v>
      </c>
      <c r="AG68" s="248">
        <v>0</v>
      </c>
      <c r="AH68" s="185">
        <v>0</v>
      </c>
      <c r="AI68" s="90">
        <v>0</v>
      </c>
      <c r="AJ68" s="275">
        <v>0</v>
      </c>
      <c r="AK68" s="89">
        <v>0</v>
      </c>
      <c r="AL68" s="90">
        <v>0</v>
      </c>
    </row>
    <row r="69" spans="2:38" s="47" customFormat="1" ht="15" customHeight="1">
      <c r="B69" s="140" t="s">
        <v>408</v>
      </c>
      <c r="C69" s="178">
        <v>0</v>
      </c>
      <c r="D69" s="107">
        <v>0</v>
      </c>
      <c r="E69" s="191">
        <v>16</v>
      </c>
      <c r="F69" s="178">
        <v>0</v>
      </c>
      <c r="G69" s="107">
        <v>0</v>
      </c>
      <c r="H69" s="191">
        <v>12</v>
      </c>
      <c r="I69" s="178">
        <v>0</v>
      </c>
      <c r="J69" s="107">
        <v>0</v>
      </c>
      <c r="K69" s="191">
        <v>15</v>
      </c>
      <c r="L69" s="248">
        <v>0</v>
      </c>
      <c r="M69" s="185">
        <v>0</v>
      </c>
      <c r="N69" s="186">
        <v>0</v>
      </c>
      <c r="O69" s="248">
        <v>0</v>
      </c>
      <c r="P69" s="185">
        <v>0</v>
      </c>
      <c r="Q69" s="186">
        <v>0</v>
      </c>
      <c r="R69" s="248">
        <v>0</v>
      </c>
      <c r="S69" s="185">
        <v>0</v>
      </c>
      <c r="T69" s="186">
        <v>0</v>
      </c>
      <c r="U69" s="248">
        <v>0</v>
      </c>
      <c r="V69" s="185">
        <v>0</v>
      </c>
      <c r="W69" s="186">
        <v>0</v>
      </c>
      <c r="X69" s="248">
        <v>0</v>
      </c>
      <c r="Y69" s="185">
        <v>0</v>
      </c>
      <c r="Z69" s="186">
        <v>0</v>
      </c>
      <c r="AA69" s="248">
        <v>0</v>
      </c>
      <c r="AB69" s="185">
        <v>0</v>
      </c>
      <c r="AC69" s="186">
        <v>0</v>
      </c>
      <c r="AD69" s="248">
        <v>0</v>
      </c>
      <c r="AE69" s="185">
        <v>0</v>
      </c>
      <c r="AF69" s="186">
        <v>0</v>
      </c>
      <c r="AG69" s="248">
        <v>0</v>
      </c>
      <c r="AH69" s="185">
        <v>0</v>
      </c>
      <c r="AI69" s="90">
        <v>0</v>
      </c>
      <c r="AJ69" s="275">
        <v>0</v>
      </c>
      <c r="AK69" s="89">
        <v>0</v>
      </c>
      <c r="AL69" s="90">
        <v>0</v>
      </c>
    </row>
    <row r="70" spans="2:38" s="47" customFormat="1" ht="15" customHeight="1">
      <c r="B70" s="140" t="s">
        <v>127</v>
      </c>
      <c r="C70" s="178">
        <v>1</v>
      </c>
      <c r="D70" s="107">
        <v>0</v>
      </c>
      <c r="E70" s="191">
        <v>8</v>
      </c>
      <c r="F70" s="178">
        <v>0</v>
      </c>
      <c r="G70" s="107">
        <v>0</v>
      </c>
      <c r="H70" s="191">
        <v>15</v>
      </c>
      <c r="I70" s="178">
        <v>0</v>
      </c>
      <c r="J70" s="107">
        <v>0</v>
      </c>
      <c r="K70" s="191">
        <v>13</v>
      </c>
      <c r="L70" s="248">
        <v>0</v>
      </c>
      <c r="M70" s="185">
        <v>0</v>
      </c>
      <c r="N70" s="186">
        <v>0</v>
      </c>
      <c r="O70" s="248">
        <v>2</v>
      </c>
      <c r="P70" s="185">
        <v>0</v>
      </c>
      <c r="Q70" s="186">
        <v>0</v>
      </c>
      <c r="R70" s="248">
        <v>0</v>
      </c>
      <c r="S70" s="185">
        <v>0</v>
      </c>
      <c r="T70" s="186">
        <v>0</v>
      </c>
      <c r="U70" s="248">
        <v>4</v>
      </c>
      <c r="V70" s="185">
        <v>0</v>
      </c>
      <c r="W70" s="186">
        <v>0</v>
      </c>
      <c r="X70" s="248">
        <v>1</v>
      </c>
      <c r="Y70" s="185">
        <v>0</v>
      </c>
      <c r="Z70" s="186">
        <v>0</v>
      </c>
      <c r="AA70" s="248">
        <v>1</v>
      </c>
      <c r="AB70" s="185">
        <v>0</v>
      </c>
      <c r="AC70" s="186">
        <v>0</v>
      </c>
      <c r="AD70" s="248">
        <v>1</v>
      </c>
      <c r="AE70" s="185">
        <v>0</v>
      </c>
      <c r="AF70" s="186">
        <v>0</v>
      </c>
      <c r="AG70" s="248">
        <v>2</v>
      </c>
      <c r="AH70" s="185">
        <v>0</v>
      </c>
      <c r="AI70" s="90">
        <v>0</v>
      </c>
      <c r="AJ70" s="275">
        <v>0</v>
      </c>
      <c r="AK70" s="89">
        <v>0</v>
      </c>
      <c r="AL70" s="90">
        <v>0</v>
      </c>
    </row>
    <row r="71" spans="2:38" s="47" customFormat="1" ht="15" customHeight="1">
      <c r="B71" s="140" t="s">
        <v>128</v>
      </c>
      <c r="C71" s="178">
        <v>0</v>
      </c>
      <c r="D71" s="107">
        <v>0</v>
      </c>
      <c r="E71" s="191">
        <v>38</v>
      </c>
      <c r="F71" s="178">
        <v>0</v>
      </c>
      <c r="G71" s="107">
        <v>0</v>
      </c>
      <c r="H71" s="191">
        <v>32</v>
      </c>
      <c r="I71" s="178">
        <v>0</v>
      </c>
      <c r="J71" s="107">
        <v>0</v>
      </c>
      <c r="K71" s="191">
        <v>18</v>
      </c>
      <c r="L71" s="248">
        <v>2</v>
      </c>
      <c r="M71" s="185">
        <v>0</v>
      </c>
      <c r="N71" s="186">
        <v>0</v>
      </c>
      <c r="O71" s="248">
        <v>0</v>
      </c>
      <c r="P71" s="185">
        <v>0</v>
      </c>
      <c r="Q71" s="186">
        <v>0</v>
      </c>
      <c r="R71" s="248">
        <v>0</v>
      </c>
      <c r="S71" s="185">
        <v>0</v>
      </c>
      <c r="T71" s="186">
        <v>0</v>
      </c>
      <c r="U71" s="248">
        <v>0</v>
      </c>
      <c r="V71" s="185">
        <v>0</v>
      </c>
      <c r="W71" s="186">
        <v>0</v>
      </c>
      <c r="X71" s="248">
        <v>1</v>
      </c>
      <c r="Y71" s="185">
        <v>0</v>
      </c>
      <c r="Z71" s="186">
        <v>0</v>
      </c>
      <c r="AA71" s="248">
        <v>1</v>
      </c>
      <c r="AB71" s="185">
        <v>0</v>
      </c>
      <c r="AC71" s="186">
        <v>0</v>
      </c>
      <c r="AD71" s="248">
        <v>0</v>
      </c>
      <c r="AE71" s="185">
        <v>0</v>
      </c>
      <c r="AF71" s="186">
        <v>0</v>
      </c>
      <c r="AG71" s="248">
        <v>0</v>
      </c>
      <c r="AH71" s="185">
        <v>0</v>
      </c>
      <c r="AI71" s="90">
        <v>0</v>
      </c>
      <c r="AJ71" s="275">
        <v>0</v>
      </c>
      <c r="AK71" s="89">
        <v>0</v>
      </c>
      <c r="AL71" s="90">
        <v>0</v>
      </c>
    </row>
    <row r="72" spans="2:38" s="47" customFormat="1" ht="15" customHeight="1">
      <c r="B72" s="194" t="s">
        <v>416</v>
      </c>
      <c r="C72" s="178">
        <v>0</v>
      </c>
      <c r="D72" s="107">
        <v>0</v>
      </c>
      <c r="E72" s="191">
        <v>1</v>
      </c>
      <c r="F72" s="178">
        <v>0</v>
      </c>
      <c r="G72" s="107">
        <v>0</v>
      </c>
      <c r="H72" s="191">
        <v>3</v>
      </c>
      <c r="I72" s="178">
        <v>0</v>
      </c>
      <c r="J72" s="107">
        <v>0</v>
      </c>
      <c r="K72" s="191">
        <v>0</v>
      </c>
      <c r="L72" s="248">
        <v>0</v>
      </c>
      <c r="M72" s="185">
        <v>0</v>
      </c>
      <c r="N72" s="186">
        <v>1</v>
      </c>
      <c r="O72" s="248">
        <v>0</v>
      </c>
      <c r="P72" s="185">
        <v>0</v>
      </c>
      <c r="Q72" s="186">
        <v>5</v>
      </c>
      <c r="R72" s="248">
        <v>0</v>
      </c>
      <c r="S72" s="185">
        <v>0</v>
      </c>
      <c r="T72" s="186">
        <v>9</v>
      </c>
      <c r="U72" s="248">
        <v>0</v>
      </c>
      <c r="V72" s="185">
        <v>0</v>
      </c>
      <c r="W72" s="186">
        <v>6</v>
      </c>
      <c r="X72" s="248">
        <v>0</v>
      </c>
      <c r="Y72" s="185">
        <v>0</v>
      </c>
      <c r="Z72" s="186">
        <v>6</v>
      </c>
      <c r="AA72" s="248">
        <v>1</v>
      </c>
      <c r="AB72" s="185">
        <v>0</v>
      </c>
      <c r="AC72" s="186">
        <v>5</v>
      </c>
      <c r="AD72" s="248">
        <v>0</v>
      </c>
      <c r="AE72" s="185">
        <v>0</v>
      </c>
      <c r="AF72" s="186">
        <v>1</v>
      </c>
      <c r="AG72" s="248">
        <v>0</v>
      </c>
      <c r="AH72" s="185">
        <v>0</v>
      </c>
      <c r="AI72" s="90">
        <v>3</v>
      </c>
      <c r="AJ72" s="275">
        <v>1</v>
      </c>
      <c r="AK72" s="89">
        <v>0</v>
      </c>
      <c r="AL72" s="90">
        <v>1</v>
      </c>
    </row>
    <row r="73" spans="2:38" s="47" customFormat="1" ht="15" customHeight="1">
      <c r="B73" s="140" t="s">
        <v>129</v>
      </c>
      <c r="C73" s="178">
        <v>0</v>
      </c>
      <c r="D73" s="107">
        <v>0</v>
      </c>
      <c r="E73" s="191">
        <v>0</v>
      </c>
      <c r="F73" s="178">
        <v>0</v>
      </c>
      <c r="G73" s="107">
        <v>0</v>
      </c>
      <c r="H73" s="191">
        <v>6</v>
      </c>
      <c r="I73" s="178">
        <v>0</v>
      </c>
      <c r="J73" s="107">
        <v>0</v>
      </c>
      <c r="K73" s="191">
        <v>2</v>
      </c>
      <c r="L73" s="248">
        <v>0</v>
      </c>
      <c r="M73" s="185">
        <v>0</v>
      </c>
      <c r="N73" s="186">
        <v>0</v>
      </c>
      <c r="O73" s="248">
        <v>0</v>
      </c>
      <c r="P73" s="185">
        <v>0</v>
      </c>
      <c r="Q73" s="186">
        <v>0</v>
      </c>
      <c r="R73" s="248">
        <v>0</v>
      </c>
      <c r="S73" s="185">
        <v>0</v>
      </c>
      <c r="T73" s="186">
        <v>0</v>
      </c>
      <c r="U73" s="248">
        <v>1</v>
      </c>
      <c r="V73" s="185">
        <v>0</v>
      </c>
      <c r="W73" s="186">
        <v>0</v>
      </c>
      <c r="X73" s="248">
        <v>1</v>
      </c>
      <c r="Y73" s="185">
        <v>0</v>
      </c>
      <c r="Z73" s="186">
        <v>0</v>
      </c>
      <c r="AA73" s="248">
        <v>1</v>
      </c>
      <c r="AB73" s="185">
        <v>0</v>
      </c>
      <c r="AC73" s="186">
        <v>2</v>
      </c>
      <c r="AD73" s="248">
        <v>0</v>
      </c>
      <c r="AE73" s="185">
        <v>0</v>
      </c>
      <c r="AF73" s="186">
        <v>0</v>
      </c>
      <c r="AG73" s="248">
        <v>0</v>
      </c>
      <c r="AH73" s="185">
        <v>0</v>
      </c>
      <c r="AI73" s="90">
        <v>0</v>
      </c>
      <c r="AJ73" s="275">
        <v>0</v>
      </c>
      <c r="AK73" s="89">
        <v>0</v>
      </c>
      <c r="AL73" s="90">
        <v>0</v>
      </c>
    </row>
    <row r="74" spans="2:38" s="47" customFormat="1" ht="15" customHeight="1" thickBot="1">
      <c r="B74" s="145" t="s">
        <v>130</v>
      </c>
      <c r="C74" s="248">
        <v>0</v>
      </c>
      <c r="D74" s="185">
        <v>0</v>
      </c>
      <c r="E74" s="252">
        <v>39</v>
      </c>
      <c r="F74" s="248">
        <v>0</v>
      </c>
      <c r="G74" s="185">
        <v>0</v>
      </c>
      <c r="H74" s="252">
        <v>18</v>
      </c>
      <c r="I74" s="248">
        <v>0</v>
      </c>
      <c r="J74" s="185">
        <v>0</v>
      </c>
      <c r="K74" s="252">
        <v>13</v>
      </c>
      <c r="L74" s="179">
        <v>0</v>
      </c>
      <c r="M74" s="180">
        <v>0</v>
      </c>
      <c r="N74" s="181">
        <v>0</v>
      </c>
      <c r="O74" s="179">
        <v>0</v>
      </c>
      <c r="P74" s="180">
        <v>0</v>
      </c>
      <c r="Q74" s="181">
        <v>0</v>
      </c>
      <c r="R74" s="179">
        <v>0</v>
      </c>
      <c r="S74" s="180">
        <v>0</v>
      </c>
      <c r="T74" s="181">
        <v>0</v>
      </c>
      <c r="U74" s="179">
        <v>0</v>
      </c>
      <c r="V74" s="180">
        <v>0</v>
      </c>
      <c r="W74" s="181">
        <v>0</v>
      </c>
      <c r="X74" s="179">
        <v>0</v>
      </c>
      <c r="Y74" s="180">
        <v>0</v>
      </c>
      <c r="Z74" s="181">
        <v>0</v>
      </c>
      <c r="AA74" s="179">
        <v>0</v>
      </c>
      <c r="AB74" s="180">
        <v>0</v>
      </c>
      <c r="AC74" s="181">
        <v>0</v>
      </c>
      <c r="AD74" s="179">
        <v>0</v>
      </c>
      <c r="AE74" s="180">
        <v>0</v>
      </c>
      <c r="AF74" s="181">
        <v>0</v>
      </c>
      <c r="AG74" s="179">
        <v>1</v>
      </c>
      <c r="AH74" s="180">
        <v>0</v>
      </c>
      <c r="AI74" s="82">
        <v>0</v>
      </c>
      <c r="AJ74" s="81">
        <v>0</v>
      </c>
      <c r="AK74" s="70">
        <v>0</v>
      </c>
      <c r="AL74" s="82">
        <v>0</v>
      </c>
    </row>
    <row r="75" spans="2:38" s="47" customFormat="1" ht="13.5" thickBot="1">
      <c r="B75" s="167" t="s">
        <v>0</v>
      </c>
      <c r="C75" s="44">
        <f aca="true" t="shared" si="24" ref="C75:AL75">SUM(C55:C74)</f>
        <v>37</v>
      </c>
      <c r="D75" s="270">
        <f t="shared" si="24"/>
        <v>27</v>
      </c>
      <c r="E75" s="269">
        <f t="shared" si="24"/>
        <v>1240</v>
      </c>
      <c r="F75" s="44">
        <f t="shared" si="24"/>
        <v>22</v>
      </c>
      <c r="G75" s="247">
        <f t="shared" si="24"/>
        <v>23</v>
      </c>
      <c r="H75" s="93">
        <f t="shared" si="24"/>
        <v>981</v>
      </c>
      <c r="I75" s="44">
        <f t="shared" si="24"/>
        <v>24</v>
      </c>
      <c r="J75" s="247">
        <f t="shared" si="24"/>
        <v>13</v>
      </c>
      <c r="K75" s="93">
        <f t="shared" si="24"/>
        <v>666</v>
      </c>
      <c r="L75" s="44">
        <f>SUM(L55:L74)</f>
        <v>26</v>
      </c>
      <c r="M75" s="247">
        <f t="shared" si="24"/>
        <v>0</v>
      </c>
      <c r="N75" s="93">
        <f t="shared" si="24"/>
        <v>81</v>
      </c>
      <c r="O75" s="44">
        <f t="shared" si="24"/>
        <v>20</v>
      </c>
      <c r="P75" s="247">
        <f t="shared" si="24"/>
        <v>0</v>
      </c>
      <c r="Q75" s="93">
        <f t="shared" si="24"/>
        <v>128</v>
      </c>
      <c r="R75" s="245">
        <f t="shared" si="24"/>
        <v>30</v>
      </c>
      <c r="S75" s="51">
        <f t="shared" si="24"/>
        <v>0</v>
      </c>
      <c r="T75" s="93">
        <f t="shared" si="24"/>
        <v>155</v>
      </c>
      <c r="U75" s="245">
        <f t="shared" si="24"/>
        <v>24</v>
      </c>
      <c r="V75" s="51">
        <f t="shared" si="24"/>
        <v>0</v>
      </c>
      <c r="W75" s="93">
        <f t="shared" si="24"/>
        <v>145</v>
      </c>
      <c r="X75" s="245">
        <f t="shared" si="24"/>
        <v>31</v>
      </c>
      <c r="Y75" s="51">
        <f t="shared" si="24"/>
        <v>0</v>
      </c>
      <c r="Z75" s="93">
        <f t="shared" si="24"/>
        <v>134</v>
      </c>
      <c r="AA75" s="245">
        <f t="shared" si="24"/>
        <v>38</v>
      </c>
      <c r="AB75" s="51">
        <f t="shared" si="24"/>
        <v>0</v>
      </c>
      <c r="AC75" s="93">
        <f t="shared" si="24"/>
        <v>80</v>
      </c>
      <c r="AD75" s="245">
        <f t="shared" si="24"/>
        <v>25</v>
      </c>
      <c r="AE75" s="51">
        <f t="shared" si="24"/>
        <v>0</v>
      </c>
      <c r="AF75" s="93">
        <f t="shared" si="24"/>
        <v>156</v>
      </c>
      <c r="AG75" s="245">
        <f t="shared" si="24"/>
        <v>31</v>
      </c>
      <c r="AH75" s="51">
        <f t="shared" si="24"/>
        <v>0</v>
      </c>
      <c r="AI75" s="93">
        <f t="shared" si="24"/>
        <v>47</v>
      </c>
      <c r="AJ75" s="245">
        <f t="shared" si="24"/>
        <v>11</v>
      </c>
      <c r="AK75" s="51">
        <f t="shared" si="24"/>
        <v>0</v>
      </c>
      <c r="AL75" s="93">
        <f t="shared" si="24"/>
        <v>41</v>
      </c>
    </row>
    <row r="76" s="47" customFormat="1" ht="12.75"/>
    <row r="77" spans="2:5" s="47" customFormat="1" ht="12.75">
      <c r="B77" s="383" t="s">
        <v>409</v>
      </c>
      <c r="C77" s="383"/>
      <c r="D77" s="383"/>
      <c r="E77" s="383"/>
    </row>
    <row r="78" s="47" customFormat="1" ht="12.75">
      <c r="B78" s="45" t="s">
        <v>417</v>
      </c>
    </row>
    <row r="79" s="47" customFormat="1" ht="12.75">
      <c r="B79" s="45"/>
    </row>
    <row r="80" spans="2:5" s="47" customFormat="1" ht="12.75">
      <c r="B80" s="383" t="s">
        <v>9</v>
      </c>
      <c r="C80" s="383"/>
      <c r="D80" s="383"/>
      <c r="E80" s="383"/>
    </row>
    <row r="81" spans="2:5" ht="12.75">
      <c r="B81" s="73"/>
      <c r="C81" s="73"/>
      <c r="D81" s="73"/>
      <c r="E81" s="73"/>
    </row>
    <row r="82" spans="2:5" ht="12.75">
      <c r="B82" s="383" t="s">
        <v>41</v>
      </c>
      <c r="C82" s="383"/>
      <c r="D82" s="383"/>
      <c r="E82" s="383"/>
    </row>
    <row r="83" spans="2:5" ht="12.75">
      <c r="B83" s="73"/>
      <c r="C83" s="73"/>
      <c r="D83" s="73"/>
      <c r="E83" s="73"/>
    </row>
    <row r="84" spans="2:5" ht="12.75">
      <c r="B84" s="383" t="s">
        <v>86</v>
      </c>
      <c r="C84" s="383"/>
      <c r="D84" s="383"/>
      <c r="E84" s="383"/>
    </row>
    <row r="85" spans="2:5" ht="12.75">
      <c r="B85" s="73"/>
      <c r="C85" s="73"/>
      <c r="D85" s="73"/>
      <c r="E85" s="73"/>
    </row>
    <row r="86" spans="2:5" s="47" customFormat="1" ht="12.75">
      <c r="B86" s="383">
        <v>2016</v>
      </c>
      <c r="C86" s="383"/>
      <c r="D86" s="383"/>
      <c r="E86" s="383"/>
    </row>
    <row r="87" spans="2:5" s="47" customFormat="1" ht="13.5" thickBot="1">
      <c r="B87" s="73"/>
      <c r="C87" s="73"/>
      <c r="D87" s="73"/>
      <c r="E87" s="73"/>
    </row>
    <row r="88" spans="2:38" s="47" customFormat="1" ht="13.5" customHeight="1" thickBot="1">
      <c r="B88" s="377" t="s">
        <v>394</v>
      </c>
      <c r="C88" s="374" t="s">
        <v>7</v>
      </c>
      <c r="D88" s="375"/>
      <c r="E88" s="376"/>
      <c r="F88" s="374" t="s">
        <v>433</v>
      </c>
      <c r="G88" s="375"/>
      <c r="H88" s="376"/>
      <c r="I88" s="374" t="s">
        <v>434</v>
      </c>
      <c r="J88" s="375"/>
      <c r="K88" s="376"/>
      <c r="L88" s="374" t="s">
        <v>435</v>
      </c>
      <c r="M88" s="375"/>
      <c r="N88" s="376"/>
      <c r="O88" s="374" t="s">
        <v>436</v>
      </c>
      <c r="P88" s="375"/>
      <c r="Q88" s="376"/>
      <c r="R88" s="374" t="s">
        <v>437</v>
      </c>
      <c r="S88" s="375"/>
      <c r="T88" s="376"/>
      <c r="U88" s="374" t="s">
        <v>438</v>
      </c>
      <c r="V88" s="375"/>
      <c r="W88" s="376"/>
      <c r="X88" s="374" t="s">
        <v>439</v>
      </c>
      <c r="Y88" s="375"/>
      <c r="Z88" s="376"/>
      <c r="AA88" s="374" t="s">
        <v>440</v>
      </c>
      <c r="AB88" s="375"/>
      <c r="AC88" s="376"/>
      <c r="AD88" s="374" t="s">
        <v>441</v>
      </c>
      <c r="AE88" s="375"/>
      <c r="AF88" s="376"/>
      <c r="AG88" s="374" t="s">
        <v>442</v>
      </c>
      <c r="AH88" s="375"/>
      <c r="AI88" s="376"/>
      <c r="AJ88" s="374" t="s">
        <v>443</v>
      </c>
      <c r="AK88" s="375"/>
      <c r="AL88" s="376"/>
    </row>
    <row r="89" spans="2:38" s="47" customFormat="1" ht="12.75" customHeight="1">
      <c r="B89" s="378"/>
      <c r="C89" s="367" t="s">
        <v>66</v>
      </c>
      <c r="D89" s="390" t="s">
        <v>67</v>
      </c>
      <c r="E89" s="391"/>
      <c r="F89" s="367" t="s">
        <v>66</v>
      </c>
      <c r="G89" s="390" t="s">
        <v>67</v>
      </c>
      <c r="H89" s="391"/>
      <c r="I89" s="367" t="s">
        <v>66</v>
      </c>
      <c r="J89" s="390" t="s">
        <v>67</v>
      </c>
      <c r="K89" s="391"/>
      <c r="L89" s="367" t="s">
        <v>66</v>
      </c>
      <c r="M89" s="390" t="s">
        <v>67</v>
      </c>
      <c r="N89" s="391"/>
      <c r="O89" s="367" t="s">
        <v>66</v>
      </c>
      <c r="P89" s="390" t="s">
        <v>67</v>
      </c>
      <c r="Q89" s="391"/>
      <c r="R89" s="367" t="s">
        <v>66</v>
      </c>
      <c r="S89" s="390" t="s">
        <v>67</v>
      </c>
      <c r="T89" s="391"/>
      <c r="U89" s="367" t="s">
        <v>66</v>
      </c>
      <c r="V89" s="390" t="s">
        <v>67</v>
      </c>
      <c r="W89" s="391"/>
      <c r="X89" s="367" t="s">
        <v>66</v>
      </c>
      <c r="Y89" s="390" t="s">
        <v>67</v>
      </c>
      <c r="Z89" s="391"/>
      <c r="AA89" s="367" t="s">
        <v>66</v>
      </c>
      <c r="AB89" s="390" t="s">
        <v>67</v>
      </c>
      <c r="AC89" s="391"/>
      <c r="AD89" s="367" t="s">
        <v>66</v>
      </c>
      <c r="AE89" s="390" t="s">
        <v>67</v>
      </c>
      <c r="AF89" s="391"/>
      <c r="AG89" s="367" t="s">
        <v>66</v>
      </c>
      <c r="AH89" s="390" t="s">
        <v>67</v>
      </c>
      <c r="AI89" s="391"/>
      <c r="AJ89" s="367" t="s">
        <v>66</v>
      </c>
      <c r="AK89" s="390" t="s">
        <v>67</v>
      </c>
      <c r="AL89" s="391"/>
    </row>
    <row r="90" spans="2:38" s="47" customFormat="1" ht="12.75">
      <c r="B90" s="379"/>
      <c r="C90" s="386"/>
      <c r="D90" s="392"/>
      <c r="E90" s="389"/>
      <c r="F90" s="386"/>
      <c r="G90" s="392"/>
      <c r="H90" s="389"/>
      <c r="I90" s="386"/>
      <c r="J90" s="392"/>
      <c r="K90" s="389"/>
      <c r="L90" s="386"/>
      <c r="M90" s="392"/>
      <c r="N90" s="389"/>
      <c r="O90" s="386"/>
      <c r="P90" s="392"/>
      <c r="Q90" s="389"/>
      <c r="R90" s="386"/>
      <c r="S90" s="392"/>
      <c r="T90" s="389"/>
      <c r="U90" s="386"/>
      <c r="V90" s="392"/>
      <c r="W90" s="389"/>
      <c r="X90" s="386"/>
      <c r="Y90" s="392"/>
      <c r="Z90" s="389"/>
      <c r="AA90" s="386"/>
      <c r="AB90" s="392"/>
      <c r="AC90" s="389"/>
      <c r="AD90" s="386"/>
      <c r="AE90" s="392"/>
      <c r="AF90" s="389"/>
      <c r="AG90" s="386"/>
      <c r="AH90" s="392"/>
      <c r="AI90" s="389"/>
      <c r="AJ90" s="386"/>
      <c r="AK90" s="392"/>
      <c r="AL90" s="389"/>
    </row>
    <row r="91" spans="2:38" s="47" customFormat="1" ht="26.25" thickBot="1">
      <c r="B91" s="380"/>
      <c r="C91" s="74" t="s">
        <v>68</v>
      </c>
      <c r="D91" s="63" t="s">
        <v>69</v>
      </c>
      <c r="E91" s="75" t="s">
        <v>70</v>
      </c>
      <c r="F91" s="74" t="s">
        <v>68</v>
      </c>
      <c r="G91" s="63" t="s">
        <v>69</v>
      </c>
      <c r="H91" s="75" t="s">
        <v>70</v>
      </c>
      <c r="I91" s="74" t="s">
        <v>68</v>
      </c>
      <c r="J91" s="63" t="s">
        <v>69</v>
      </c>
      <c r="K91" s="75" t="s">
        <v>70</v>
      </c>
      <c r="L91" s="74" t="s">
        <v>68</v>
      </c>
      <c r="M91" s="63" t="s">
        <v>69</v>
      </c>
      <c r="N91" s="75" t="s">
        <v>70</v>
      </c>
      <c r="O91" s="74" t="s">
        <v>68</v>
      </c>
      <c r="P91" s="63" t="s">
        <v>69</v>
      </c>
      <c r="Q91" s="75" t="s">
        <v>70</v>
      </c>
      <c r="R91" s="74" t="s">
        <v>68</v>
      </c>
      <c r="S91" s="63" t="s">
        <v>69</v>
      </c>
      <c r="T91" s="75" t="s">
        <v>70</v>
      </c>
      <c r="U91" s="74" t="s">
        <v>68</v>
      </c>
      <c r="V91" s="63" t="s">
        <v>69</v>
      </c>
      <c r="W91" s="75" t="s">
        <v>70</v>
      </c>
      <c r="X91" s="74" t="s">
        <v>68</v>
      </c>
      <c r="Y91" s="63" t="s">
        <v>69</v>
      </c>
      <c r="Z91" s="75" t="s">
        <v>70</v>
      </c>
      <c r="AA91" s="74" t="s">
        <v>68</v>
      </c>
      <c r="AB91" s="63" t="s">
        <v>69</v>
      </c>
      <c r="AC91" s="75" t="s">
        <v>70</v>
      </c>
      <c r="AD91" s="74" t="s">
        <v>68</v>
      </c>
      <c r="AE91" s="63" t="s">
        <v>69</v>
      </c>
      <c r="AF91" s="75" t="s">
        <v>70</v>
      </c>
      <c r="AG91" s="74" t="s">
        <v>68</v>
      </c>
      <c r="AH91" s="63" t="s">
        <v>69</v>
      </c>
      <c r="AI91" s="75" t="s">
        <v>70</v>
      </c>
      <c r="AJ91" s="74" t="s">
        <v>68</v>
      </c>
      <c r="AK91" s="63" t="s">
        <v>69</v>
      </c>
      <c r="AL91" s="75" t="s">
        <v>70</v>
      </c>
    </row>
    <row r="92" spans="2:38" s="47" customFormat="1" ht="15" customHeight="1">
      <c r="B92" s="149" t="s">
        <v>131</v>
      </c>
      <c r="C92" s="177">
        <v>0</v>
      </c>
      <c r="D92" s="104">
        <v>0</v>
      </c>
      <c r="E92" s="105">
        <v>6</v>
      </c>
      <c r="F92" s="177">
        <v>0</v>
      </c>
      <c r="G92" s="104">
        <v>0</v>
      </c>
      <c r="H92" s="105">
        <v>7</v>
      </c>
      <c r="I92" s="177">
        <v>0</v>
      </c>
      <c r="J92" s="104">
        <v>0</v>
      </c>
      <c r="K92" s="105">
        <v>7</v>
      </c>
      <c r="L92" s="177">
        <v>0</v>
      </c>
      <c r="M92" s="104">
        <v>0</v>
      </c>
      <c r="N92" s="105">
        <v>0</v>
      </c>
      <c r="O92" s="177">
        <v>0</v>
      </c>
      <c r="P92" s="104">
        <v>0</v>
      </c>
      <c r="Q92" s="105">
        <v>0</v>
      </c>
      <c r="R92" s="177">
        <v>0</v>
      </c>
      <c r="S92" s="104">
        <v>0</v>
      </c>
      <c r="T92" s="105">
        <v>0</v>
      </c>
      <c r="U92" s="177">
        <v>0</v>
      </c>
      <c r="V92" s="104">
        <v>0</v>
      </c>
      <c r="W92" s="105">
        <v>0</v>
      </c>
      <c r="X92" s="177">
        <v>0</v>
      </c>
      <c r="Y92" s="104">
        <v>0</v>
      </c>
      <c r="Z92" s="105">
        <v>0</v>
      </c>
      <c r="AA92" s="177">
        <v>0</v>
      </c>
      <c r="AB92" s="104">
        <v>0</v>
      </c>
      <c r="AC92" s="105">
        <v>0</v>
      </c>
      <c r="AD92" s="177">
        <v>0</v>
      </c>
      <c r="AE92" s="104">
        <v>0</v>
      </c>
      <c r="AF92" s="105">
        <v>0</v>
      </c>
      <c r="AG92" s="177">
        <v>0</v>
      </c>
      <c r="AH92" s="104">
        <v>0</v>
      </c>
      <c r="AI92" s="105">
        <v>0</v>
      </c>
      <c r="AJ92" s="177">
        <v>0</v>
      </c>
      <c r="AK92" s="104">
        <v>0</v>
      </c>
      <c r="AL92" s="105">
        <v>0</v>
      </c>
    </row>
    <row r="93" spans="2:38" s="47" customFormat="1" ht="15" customHeight="1">
      <c r="B93" s="150" t="s">
        <v>132</v>
      </c>
      <c r="C93" s="178">
        <v>0</v>
      </c>
      <c r="D93" s="107">
        <v>0</v>
      </c>
      <c r="E93" s="108">
        <v>2</v>
      </c>
      <c r="F93" s="178">
        <v>0</v>
      </c>
      <c r="G93" s="107">
        <v>0</v>
      </c>
      <c r="H93" s="108">
        <v>0</v>
      </c>
      <c r="I93" s="178">
        <v>0</v>
      </c>
      <c r="J93" s="107">
        <v>0</v>
      </c>
      <c r="K93" s="108">
        <v>0</v>
      </c>
      <c r="L93" s="178">
        <v>0</v>
      </c>
      <c r="M93" s="107">
        <v>0</v>
      </c>
      <c r="N93" s="108">
        <v>0</v>
      </c>
      <c r="O93" s="178">
        <v>0</v>
      </c>
      <c r="P93" s="107">
        <v>0</v>
      </c>
      <c r="Q93" s="108">
        <v>0</v>
      </c>
      <c r="R93" s="178">
        <v>0</v>
      </c>
      <c r="S93" s="107">
        <v>0</v>
      </c>
      <c r="T93" s="108">
        <v>0</v>
      </c>
      <c r="U93" s="178">
        <v>0</v>
      </c>
      <c r="V93" s="107">
        <v>0</v>
      </c>
      <c r="W93" s="108">
        <v>0</v>
      </c>
      <c r="X93" s="178">
        <v>0</v>
      </c>
      <c r="Y93" s="107">
        <v>0</v>
      </c>
      <c r="Z93" s="108">
        <v>0</v>
      </c>
      <c r="AA93" s="178">
        <v>0</v>
      </c>
      <c r="AB93" s="107">
        <v>0</v>
      </c>
      <c r="AC93" s="108">
        <v>0</v>
      </c>
      <c r="AD93" s="178">
        <v>0</v>
      </c>
      <c r="AE93" s="107">
        <v>0</v>
      </c>
      <c r="AF93" s="108">
        <v>0</v>
      </c>
      <c r="AG93" s="178">
        <v>0</v>
      </c>
      <c r="AH93" s="107">
        <v>0</v>
      </c>
      <c r="AI93" s="108">
        <v>0</v>
      </c>
      <c r="AJ93" s="178">
        <v>0</v>
      </c>
      <c r="AK93" s="107">
        <v>0</v>
      </c>
      <c r="AL93" s="108">
        <v>0</v>
      </c>
    </row>
    <row r="94" spans="2:38" s="47" customFormat="1" ht="15" customHeight="1">
      <c r="B94" s="150" t="s">
        <v>133</v>
      </c>
      <c r="C94" s="178">
        <v>5</v>
      </c>
      <c r="D94" s="107">
        <v>1</v>
      </c>
      <c r="E94" s="108">
        <v>31</v>
      </c>
      <c r="F94" s="178">
        <v>1</v>
      </c>
      <c r="G94" s="107">
        <v>1</v>
      </c>
      <c r="H94" s="108">
        <v>38</v>
      </c>
      <c r="I94" s="178">
        <v>1</v>
      </c>
      <c r="J94" s="107">
        <v>0</v>
      </c>
      <c r="K94" s="108">
        <v>20</v>
      </c>
      <c r="L94" s="178">
        <v>0</v>
      </c>
      <c r="M94" s="107">
        <v>0</v>
      </c>
      <c r="N94" s="108">
        <v>0</v>
      </c>
      <c r="O94" s="178">
        <v>0</v>
      </c>
      <c r="P94" s="107">
        <v>0</v>
      </c>
      <c r="Q94" s="108">
        <v>0</v>
      </c>
      <c r="R94" s="178">
        <v>1</v>
      </c>
      <c r="S94" s="107">
        <v>0</v>
      </c>
      <c r="T94" s="108">
        <v>0</v>
      </c>
      <c r="U94" s="178">
        <v>1</v>
      </c>
      <c r="V94" s="107">
        <v>0</v>
      </c>
      <c r="W94" s="108">
        <v>0</v>
      </c>
      <c r="X94" s="178">
        <v>3</v>
      </c>
      <c r="Y94" s="107">
        <v>0</v>
      </c>
      <c r="Z94" s="108">
        <v>0</v>
      </c>
      <c r="AA94" s="178">
        <v>4</v>
      </c>
      <c r="AB94" s="107">
        <v>0</v>
      </c>
      <c r="AC94" s="108">
        <v>0</v>
      </c>
      <c r="AD94" s="178">
        <v>2</v>
      </c>
      <c r="AE94" s="107">
        <v>0</v>
      </c>
      <c r="AF94" s="108">
        <v>0</v>
      </c>
      <c r="AG94" s="178">
        <v>1</v>
      </c>
      <c r="AH94" s="107">
        <v>0</v>
      </c>
      <c r="AI94" s="108">
        <v>0</v>
      </c>
      <c r="AJ94" s="178">
        <v>0</v>
      </c>
      <c r="AK94" s="107">
        <v>0</v>
      </c>
      <c r="AL94" s="108">
        <v>0</v>
      </c>
    </row>
    <row r="95" spans="2:38" s="47" customFormat="1" ht="15" customHeight="1">
      <c r="B95" s="150" t="s">
        <v>134</v>
      </c>
      <c r="C95" s="178">
        <v>2</v>
      </c>
      <c r="D95" s="107">
        <v>1</v>
      </c>
      <c r="E95" s="108">
        <v>22</v>
      </c>
      <c r="F95" s="178">
        <v>1</v>
      </c>
      <c r="G95" s="107">
        <v>0</v>
      </c>
      <c r="H95" s="108">
        <v>23</v>
      </c>
      <c r="I95" s="178">
        <v>2</v>
      </c>
      <c r="J95" s="107">
        <v>1</v>
      </c>
      <c r="K95" s="108">
        <v>21</v>
      </c>
      <c r="L95" s="178">
        <v>0</v>
      </c>
      <c r="M95" s="107">
        <v>0</v>
      </c>
      <c r="N95" s="108">
        <v>0</v>
      </c>
      <c r="O95" s="178">
        <v>1</v>
      </c>
      <c r="P95" s="107">
        <v>0</v>
      </c>
      <c r="Q95" s="108">
        <v>0</v>
      </c>
      <c r="R95" s="178">
        <v>0</v>
      </c>
      <c r="S95" s="107">
        <v>0</v>
      </c>
      <c r="T95" s="108">
        <v>0</v>
      </c>
      <c r="U95" s="178">
        <v>2</v>
      </c>
      <c r="V95" s="107">
        <v>0</v>
      </c>
      <c r="W95" s="108">
        <v>0</v>
      </c>
      <c r="X95" s="178">
        <v>0</v>
      </c>
      <c r="Y95" s="107">
        <v>0</v>
      </c>
      <c r="Z95" s="108">
        <v>0</v>
      </c>
      <c r="AA95" s="178">
        <v>0</v>
      </c>
      <c r="AB95" s="107">
        <v>0</v>
      </c>
      <c r="AC95" s="108">
        <v>0</v>
      </c>
      <c r="AD95" s="178">
        <v>1</v>
      </c>
      <c r="AE95" s="107">
        <v>0</v>
      </c>
      <c r="AF95" s="108">
        <v>0</v>
      </c>
      <c r="AG95" s="178">
        <v>0</v>
      </c>
      <c r="AH95" s="107">
        <v>0</v>
      </c>
      <c r="AI95" s="108">
        <v>0</v>
      </c>
      <c r="AJ95" s="178">
        <v>0</v>
      </c>
      <c r="AK95" s="107">
        <v>0</v>
      </c>
      <c r="AL95" s="108">
        <v>0</v>
      </c>
    </row>
    <row r="96" spans="2:38" s="47" customFormat="1" ht="15" customHeight="1">
      <c r="B96" s="150" t="s">
        <v>135</v>
      </c>
      <c r="C96" s="178">
        <v>0</v>
      </c>
      <c r="D96" s="107">
        <v>0</v>
      </c>
      <c r="E96" s="108">
        <v>0</v>
      </c>
      <c r="F96" s="178">
        <v>0</v>
      </c>
      <c r="G96" s="107">
        <v>0</v>
      </c>
      <c r="H96" s="108">
        <v>0</v>
      </c>
      <c r="I96" s="178">
        <v>0</v>
      </c>
      <c r="J96" s="107">
        <v>0</v>
      </c>
      <c r="K96" s="108">
        <v>0</v>
      </c>
      <c r="L96" s="178">
        <v>16</v>
      </c>
      <c r="M96" s="107">
        <v>0</v>
      </c>
      <c r="N96" s="108">
        <v>0</v>
      </c>
      <c r="O96" s="178">
        <v>7</v>
      </c>
      <c r="P96" s="107">
        <v>0</v>
      </c>
      <c r="Q96" s="108">
        <v>0</v>
      </c>
      <c r="R96" s="178">
        <v>10</v>
      </c>
      <c r="S96" s="107">
        <v>0</v>
      </c>
      <c r="T96" s="108">
        <v>0</v>
      </c>
      <c r="U96" s="178">
        <v>19</v>
      </c>
      <c r="V96" s="107">
        <v>0</v>
      </c>
      <c r="W96" s="108">
        <v>0</v>
      </c>
      <c r="X96" s="178">
        <v>11</v>
      </c>
      <c r="Y96" s="107">
        <v>0</v>
      </c>
      <c r="Z96" s="108">
        <v>0</v>
      </c>
      <c r="AA96" s="178">
        <v>13</v>
      </c>
      <c r="AB96" s="107">
        <v>0</v>
      </c>
      <c r="AC96" s="108">
        <v>0</v>
      </c>
      <c r="AD96" s="178">
        <v>11</v>
      </c>
      <c r="AE96" s="107">
        <v>0</v>
      </c>
      <c r="AF96" s="108">
        <v>0</v>
      </c>
      <c r="AG96" s="178">
        <v>17</v>
      </c>
      <c r="AH96" s="107">
        <v>0</v>
      </c>
      <c r="AI96" s="108">
        <v>0</v>
      </c>
      <c r="AJ96" s="178">
        <v>18</v>
      </c>
      <c r="AK96" s="107">
        <v>0</v>
      </c>
      <c r="AL96" s="108">
        <v>0</v>
      </c>
    </row>
    <row r="97" spans="2:38" s="47" customFormat="1" ht="15" customHeight="1">
      <c r="B97" s="150" t="s">
        <v>136</v>
      </c>
      <c r="C97" s="178">
        <v>0</v>
      </c>
      <c r="D97" s="107">
        <v>0</v>
      </c>
      <c r="E97" s="108">
        <v>0</v>
      </c>
      <c r="F97" s="178">
        <v>0</v>
      </c>
      <c r="G97" s="107">
        <v>0</v>
      </c>
      <c r="H97" s="108">
        <v>0</v>
      </c>
      <c r="I97" s="178">
        <v>0</v>
      </c>
      <c r="J97" s="107">
        <v>0</v>
      </c>
      <c r="K97" s="108">
        <v>0</v>
      </c>
      <c r="L97" s="178">
        <v>0</v>
      </c>
      <c r="M97" s="107">
        <v>0</v>
      </c>
      <c r="N97" s="108">
        <v>0</v>
      </c>
      <c r="O97" s="178">
        <v>0</v>
      </c>
      <c r="P97" s="107">
        <v>0</v>
      </c>
      <c r="Q97" s="108">
        <v>0</v>
      </c>
      <c r="R97" s="178">
        <v>0</v>
      </c>
      <c r="S97" s="107">
        <v>0</v>
      </c>
      <c r="T97" s="108">
        <v>0</v>
      </c>
      <c r="U97" s="178">
        <v>1</v>
      </c>
      <c r="V97" s="107">
        <v>0</v>
      </c>
      <c r="W97" s="108">
        <v>0</v>
      </c>
      <c r="X97" s="178">
        <v>0</v>
      </c>
      <c r="Y97" s="107">
        <v>0</v>
      </c>
      <c r="Z97" s="108">
        <v>0</v>
      </c>
      <c r="AA97" s="178">
        <v>1</v>
      </c>
      <c r="AB97" s="107">
        <v>0</v>
      </c>
      <c r="AC97" s="108">
        <v>0</v>
      </c>
      <c r="AD97" s="178">
        <v>0</v>
      </c>
      <c r="AE97" s="107">
        <v>0</v>
      </c>
      <c r="AF97" s="108">
        <v>0</v>
      </c>
      <c r="AG97" s="178">
        <v>0</v>
      </c>
      <c r="AH97" s="107">
        <v>0</v>
      </c>
      <c r="AI97" s="108">
        <v>0</v>
      </c>
      <c r="AJ97" s="178">
        <v>0</v>
      </c>
      <c r="AK97" s="107">
        <v>0</v>
      </c>
      <c r="AL97" s="108">
        <v>0</v>
      </c>
    </row>
    <row r="98" spans="2:38" s="47" customFormat="1" ht="15" customHeight="1">
      <c r="B98" s="150" t="s">
        <v>137</v>
      </c>
      <c r="C98" s="178">
        <v>0</v>
      </c>
      <c r="D98" s="107">
        <v>0</v>
      </c>
      <c r="E98" s="108">
        <v>1</v>
      </c>
      <c r="F98" s="178">
        <v>1</v>
      </c>
      <c r="G98" s="107">
        <v>0</v>
      </c>
      <c r="H98" s="108">
        <v>3</v>
      </c>
      <c r="I98" s="178">
        <v>0</v>
      </c>
      <c r="J98" s="107">
        <v>0</v>
      </c>
      <c r="K98" s="108">
        <v>2</v>
      </c>
      <c r="L98" s="178">
        <v>0</v>
      </c>
      <c r="M98" s="107">
        <v>0</v>
      </c>
      <c r="N98" s="108">
        <v>0</v>
      </c>
      <c r="O98" s="178">
        <v>0</v>
      </c>
      <c r="P98" s="107">
        <v>0</v>
      </c>
      <c r="Q98" s="108">
        <v>0</v>
      </c>
      <c r="R98" s="178">
        <v>0</v>
      </c>
      <c r="S98" s="107">
        <v>0</v>
      </c>
      <c r="T98" s="108">
        <v>0</v>
      </c>
      <c r="U98" s="178">
        <v>0</v>
      </c>
      <c r="V98" s="107">
        <v>0</v>
      </c>
      <c r="W98" s="108">
        <v>0</v>
      </c>
      <c r="X98" s="178">
        <v>0</v>
      </c>
      <c r="Y98" s="107">
        <v>0</v>
      </c>
      <c r="Z98" s="108">
        <v>0</v>
      </c>
      <c r="AA98" s="178">
        <v>0</v>
      </c>
      <c r="AB98" s="107">
        <v>0</v>
      </c>
      <c r="AC98" s="108">
        <v>0</v>
      </c>
      <c r="AD98" s="178">
        <v>0</v>
      </c>
      <c r="AE98" s="107">
        <v>0</v>
      </c>
      <c r="AF98" s="108">
        <v>0</v>
      </c>
      <c r="AG98" s="178">
        <v>0</v>
      </c>
      <c r="AH98" s="107">
        <v>0</v>
      </c>
      <c r="AI98" s="108">
        <v>0</v>
      </c>
      <c r="AJ98" s="178">
        <v>0</v>
      </c>
      <c r="AK98" s="107">
        <v>0</v>
      </c>
      <c r="AL98" s="108">
        <v>0</v>
      </c>
    </row>
    <row r="99" spans="2:38" s="47" customFormat="1" ht="15" customHeight="1">
      <c r="B99" s="150" t="s">
        <v>138</v>
      </c>
      <c r="C99" s="178">
        <v>0</v>
      </c>
      <c r="D99" s="107">
        <v>0</v>
      </c>
      <c r="E99" s="108">
        <v>0</v>
      </c>
      <c r="F99" s="195">
        <v>0</v>
      </c>
      <c r="G99" s="192">
        <v>0</v>
      </c>
      <c r="H99" s="193">
        <v>0</v>
      </c>
      <c r="I99" s="195">
        <v>0</v>
      </c>
      <c r="J99" s="192">
        <v>0</v>
      </c>
      <c r="K99" s="193">
        <v>0</v>
      </c>
      <c r="L99" s="195">
        <v>0</v>
      </c>
      <c r="M99" s="192">
        <v>0</v>
      </c>
      <c r="N99" s="193">
        <v>0</v>
      </c>
      <c r="O99" s="195">
        <v>0</v>
      </c>
      <c r="P99" s="192">
        <v>0</v>
      </c>
      <c r="Q99" s="193">
        <v>0</v>
      </c>
      <c r="R99" s="178">
        <v>0</v>
      </c>
      <c r="S99" s="107">
        <v>0</v>
      </c>
      <c r="T99" s="108">
        <v>0</v>
      </c>
      <c r="U99" s="195">
        <v>0</v>
      </c>
      <c r="V99" s="192">
        <v>0</v>
      </c>
      <c r="W99" s="193">
        <v>0</v>
      </c>
      <c r="X99" s="195">
        <v>0</v>
      </c>
      <c r="Y99" s="192">
        <v>0</v>
      </c>
      <c r="Z99" s="193">
        <v>0</v>
      </c>
      <c r="AA99" s="195">
        <v>0</v>
      </c>
      <c r="AB99" s="192">
        <v>0</v>
      </c>
      <c r="AC99" s="193">
        <v>0</v>
      </c>
      <c r="AD99" s="195">
        <v>0</v>
      </c>
      <c r="AE99" s="192">
        <v>0</v>
      </c>
      <c r="AF99" s="193">
        <v>0</v>
      </c>
      <c r="AG99" s="195">
        <v>0</v>
      </c>
      <c r="AH99" s="192">
        <v>0</v>
      </c>
      <c r="AI99" s="193">
        <v>0</v>
      </c>
      <c r="AJ99" s="195">
        <v>1</v>
      </c>
      <c r="AK99" s="192">
        <v>0</v>
      </c>
      <c r="AL99" s="193">
        <v>0</v>
      </c>
    </row>
    <row r="100" spans="2:38" s="47" customFormat="1" ht="15" customHeight="1">
      <c r="B100" s="150" t="s">
        <v>139</v>
      </c>
      <c r="C100" s="178">
        <v>2</v>
      </c>
      <c r="D100" s="107">
        <v>2</v>
      </c>
      <c r="E100" s="108">
        <v>6</v>
      </c>
      <c r="F100" s="178">
        <v>1</v>
      </c>
      <c r="G100" s="107">
        <v>1</v>
      </c>
      <c r="H100" s="108">
        <v>9</v>
      </c>
      <c r="I100" s="178">
        <v>0</v>
      </c>
      <c r="J100" s="107">
        <v>0</v>
      </c>
      <c r="K100" s="108">
        <v>7</v>
      </c>
      <c r="L100" s="178">
        <v>0</v>
      </c>
      <c r="M100" s="107">
        <v>0</v>
      </c>
      <c r="N100" s="108">
        <v>0</v>
      </c>
      <c r="O100" s="178">
        <v>0</v>
      </c>
      <c r="P100" s="107">
        <v>0</v>
      </c>
      <c r="Q100" s="108">
        <v>0</v>
      </c>
      <c r="R100" s="178">
        <v>0</v>
      </c>
      <c r="S100" s="107">
        <v>0</v>
      </c>
      <c r="T100" s="108">
        <v>0</v>
      </c>
      <c r="U100" s="178">
        <v>0</v>
      </c>
      <c r="V100" s="107">
        <v>0</v>
      </c>
      <c r="W100" s="108">
        <v>0</v>
      </c>
      <c r="X100" s="178">
        <v>0</v>
      </c>
      <c r="Y100" s="107">
        <v>0</v>
      </c>
      <c r="Z100" s="108">
        <v>0</v>
      </c>
      <c r="AA100" s="178">
        <v>0</v>
      </c>
      <c r="AB100" s="107">
        <v>0</v>
      </c>
      <c r="AC100" s="108">
        <v>0</v>
      </c>
      <c r="AD100" s="178">
        <v>0</v>
      </c>
      <c r="AE100" s="107">
        <v>0</v>
      </c>
      <c r="AF100" s="108">
        <v>0</v>
      </c>
      <c r="AG100" s="178">
        <v>1</v>
      </c>
      <c r="AH100" s="107">
        <v>0</v>
      </c>
      <c r="AI100" s="108">
        <v>0</v>
      </c>
      <c r="AJ100" s="178">
        <v>0</v>
      </c>
      <c r="AK100" s="107">
        <v>0</v>
      </c>
      <c r="AL100" s="108">
        <v>0</v>
      </c>
    </row>
    <row r="101" spans="2:38" s="47" customFormat="1" ht="15" customHeight="1">
      <c r="B101" s="150" t="s">
        <v>140</v>
      </c>
      <c r="C101" s="178">
        <v>0</v>
      </c>
      <c r="D101" s="107">
        <v>0</v>
      </c>
      <c r="E101" s="108">
        <v>0</v>
      </c>
      <c r="F101" s="178">
        <v>0</v>
      </c>
      <c r="G101" s="107">
        <v>0</v>
      </c>
      <c r="H101" s="108">
        <v>0</v>
      </c>
      <c r="I101" s="178">
        <v>0</v>
      </c>
      <c r="J101" s="107">
        <v>0</v>
      </c>
      <c r="K101" s="108">
        <v>0</v>
      </c>
      <c r="L101" s="178">
        <v>0</v>
      </c>
      <c r="M101" s="107">
        <v>0</v>
      </c>
      <c r="N101" s="108">
        <v>0</v>
      </c>
      <c r="O101" s="178">
        <v>0</v>
      </c>
      <c r="P101" s="107">
        <v>0</v>
      </c>
      <c r="Q101" s="108">
        <v>0</v>
      </c>
      <c r="R101" s="178">
        <v>0</v>
      </c>
      <c r="S101" s="107">
        <v>0</v>
      </c>
      <c r="T101" s="108">
        <v>0</v>
      </c>
      <c r="U101" s="178">
        <v>0</v>
      </c>
      <c r="V101" s="107">
        <v>0</v>
      </c>
      <c r="W101" s="108">
        <v>0</v>
      </c>
      <c r="X101" s="178">
        <v>0</v>
      </c>
      <c r="Y101" s="107">
        <v>0</v>
      </c>
      <c r="Z101" s="108">
        <v>0</v>
      </c>
      <c r="AA101" s="178">
        <v>0</v>
      </c>
      <c r="AB101" s="107">
        <v>0</v>
      </c>
      <c r="AC101" s="108">
        <v>0</v>
      </c>
      <c r="AD101" s="178">
        <v>0</v>
      </c>
      <c r="AE101" s="107">
        <v>0</v>
      </c>
      <c r="AF101" s="108">
        <v>0</v>
      </c>
      <c r="AG101" s="178">
        <v>0</v>
      </c>
      <c r="AH101" s="107">
        <v>0</v>
      </c>
      <c r="AI101" s="108">
        <v>0</v>
      </c>
      <c r="AJ101" s="178">
        <v>0</v>
      </c>
      <c r="AK101" s="107">
        <v>0</v>
      </c>
      <c r="AL101" s="108">
        <v>0</v>
      </c>
    </row>
    <row r="102" spans="2:38" s="47" customFormat="1" ht="15" customHeight="1">
      <c r="B102" s="150" t="s">
        <v>141</v>
      </c>
      <c r="C102" s="178">
        <v>2</v>
      </c>
      <c r="D102" s="107">
        <v>1</v>
      </c>
      <c r="E102" s="108">
        <v>56</v>
      </c>
      <c r="F102" s="178">
        <v>0</v>
      </c>
      <c r="G102" s="107">
        <v>0</v>
      </c>
      <c r="H102" s="108">
        <v>72</v>
      </c>
      <c r="I102" s="178">
        <v>0</v>
      </c>
      <c r="J102" s="107">
        <v>0</v>
      </c>
      <c r="K102" s="108">
        <v>47</v>
      </c>
      <c r="L102" s="178">
        <v>0</v>
      </c>
      <c r="M102" s="107">
        <v>0</v>
      </c>
      <c r="N102" s="108">
        <v>0</v>
      </c>
      <c r="O102" s="178">
        <v>0</v>
      </c>
      <c r="P102" s="107">
        <v>0</v>
      </c>
      <c r="Q102" s="108">
        <v>0</v>
      </c>
      <c r="R102" s="178">
        <v>0</v>
      </c>
      <c r="S102" s="107">
        <v>0</v>
      </c>
      <c r="T102" s="108">
        <v>0</v>
      </c>
      <c r="U102" s="178">
        <v>0</v>
      </c>
      <c r="V102" s="107">
        <v>0</v>
      </c>
      <c r="W102" s="108">
        <v>0</v>
      </c>
      <c r="X102" s="178">
        <v>0</v>
      </c>
      <c r="Y102" s="107">
        <v>0</v>
      </c>
      <c r="Z102" s="108">
        <v>0</v>
      </c>
      <c r="AA102" s="178">
        <v>0</v>
      </c>
      <c r="AB102" s="107">
        <v>0</v>
      </c>
      <c r="AC102" s="108">
        <v>0</v>
      </c>
      <c r="AD102" s="178">
        <v>0</v>
      </c>
      <c r="AE102" s="107">
        <v>0</v>
      </c>
      <c r="AF102" s="108">
        <v>0</v>
      </c>
      <c r="AG102" s="178">
        <v>1</v>
      </c>
      <c r="AH102" s="107">
        <v>0</v>
      </c>
      <c r="AI102" s="108">
        <v>0</v>
      </c>
      <c r="AJ102" s="178">
        <v>1</v>
      </c>
      <c r="AK102" s="107">
        <v>0</v>
      </c>
      <c r="AL102" s="108">
        <v>0</v>
      </c>
    </row>
    <row r="103" spans="2:38" s="47" customFormat="1" ht="15" customHeight="1" thickBot="1">
      <c r="B103" s="151" t="s">
        <v>142</v>
      </c>
      <c r="C103" s="179">
        <v>0</v>
      </c>
      <c r="D103" s="180">
        <v>0</v>
      </c>
      <c r="E103" s="181">
        <v>23</v>
      </c>
      <c r="F103" s="179">
        <v>0</v>
      </c>
      <c r="G103" s="180">
        <v>0</v>
      </c>
      <c r="H103" s="181">
        <v>13</v>
      </c>
      <c r="I103" s="179">
        <v>0</v>
      </c>
      <c r="J103" s="180">
        <v>0</v>
      </c>
      <c r="K103" s="181">
        <v>8</v>
      </c>
      <c r="L103" s="179">
        <v>1</v>
      </c>
      <c r="M103" s="180">
        <v>0</v>
      </c>
      <c r="N103" s="181">
        <v>0</v>
      </c>
      <c r="O103" s="179">
        <v>2</v>
      </c>
      <c r="P103" s="180">
        <v>0</v>
      </c>
      <c r="Q103" s="181">
        <v>0</v>
      </c>
      <c r="R103" s="179">
        <v>0</v>
      </c>
      <c r="S103" s="180">
        <v>0</v>
      </c>
      <c r="T103" s="181">
        <v>0</v>
      </c>
      <c r="U103" s="179">
        <v>1</v>
      </c>
      <c r="V103" s="180">
        <v>0</v>
      </c>
      <c r="W103" s="181">
        <v>0</v>
      </c>
      <c r="X103" s="179">
        <v>0</v>
      </c>
      <c r="Y103" s="180">
        <v>0</v>
      </c>
      <c r="Z103" s="181">
        <v>0</v>
      </c>
      <c r="AA103" s="179">
        <v>0</v>
      </c>
      <c r="AB103" s="180">
        <v>0</v>
      </c>
      <c r="AC103" s="181">
        <v>0</v>
      </c>
      <c r="AD103" s="179">
        <v>0</v>
      </c>
      <c r="AE103" s="180">
        <v>0</v>
      </c>
      <c r="AF103" s="181">
        <v>0</v>
      </c>
      <c r="AG103" s="179">
        <v>0</v>
      </c>
      <c r="AH103" s="180">
        <v>0</v>
      </c>
      <c r="AI103" s="181">
        <v>0</v>
      </c>
      <c r="AJ103" s="179">
        <v>2</v>
      </c>
      <c r="AK103" s="180">
        <v>0</v>
      </c>
      <c r="AL103" s="181">
        <v>0</v>
      </c>
    </row>
    <row r="104" spans="2:38" s="47" customFormat="1" ht="13.5" thickBot="1">
      <c r="B104" s="83" t="s">
        <v>0</v>
      </c>
      <c r="C104" s="44">
        <f aca="true" t="shared" si="25" ref="C104:AL104">SUM(C92:C103)</f>
        <v>11</v>
      </c>
      <c r="D104" s="51">
        <f t="shared" si="25"/>
        <v>5</v>
      </c>
      <c r="E104" s="52">
        <f t="shared" si="25"/>
        <v>147</v>
      </c>
      <c r="F104" s="109">
        <f t="shared" si="25"/>
        <v>4</v>
      </c>
      <c r="G104" s="51">
        <f t="shared" si="25"/>
        <v>2</v>
      </c>
      <c r="H104" s="93">
        <f t="shared" si="25"/>
        <v>165</v>
      </c>
      <c r="I104" s="245">
        <f t="shared" si="25"/>
        <v>3</v>
      </c>
      <c r="J104" s="51">
        <f t="shared" si="25"/>
        <v>1</v>
      </c>
      <c r="K104" s="93">
        <f t="shared" si="25"/>
        <v>112</v>
      </c>
      <c r="L104" s="245">
        <f t="shared" si="25"/>
        <v>17</v>
      </c>
      <c r="M104" s="51">
        <f t="shared" si="25"/>
        <v>0</v>
      </c>
      <c r="N104" s="93">
        <f t="shared" si="25"/>
        <v>0</v>
      </c>
      <c r="O104" s="245">
        <f t="shared" si="25"/>
        <v>10</v>
      </c>
      <c r="P104" s="51">
        <f t="shared" si="25"/>
        <v>0</v>
      </c>
      <c r="Q104" s="93">
        <f t="shared" si="25"/>
        <v>0</v>
      </c>
      <c r="R104" s="245">
        <f t="shared" si="25"/>
        <v>11</v>
      </c>
      <c r="S104" s="51">
        <f t="shared" si="25"/>
        <v>0</v>
      </c>
      <c r="T104" s="93">
        <f t="shared" si="25"/>
        <v>0</v>
      </c>
      <c r="U104" s="245">
        <f t="shared" si="25"/>
        <v>24</v>
      </c>
      <c r="V104" s="51">
        <f t="shared" si="25"/>
        <v>0</v>
      </c>
      <c r="W104" s="93">
        <f t="shared" si="25"/>
        <v>0</v>
      </c>
      <c r="X104" s="245">
        <f t="shared" si="25"/>
        <v>14</v>
      </c>
      <c r="Y104" s="51">
        <f t="shared" si="25"/>
        <v>0</v>
      </c>
      <c r="Z104" s="93">
        <f t="shared" si="25"/>
        <v>0</v>
      </c>
      <c r="AA104" s="245">
        <f t="shared" si="25"/>
        <v>18</v>
      </c>
      <c r="AB104" s="51">
        <f t="shared" si="25"/>
        <v>0</v>
      </c>
      <c r="AC104" s="93">
        <f t="shared" si="25"/>
        <v>0</v>
      </c>
      <c r="AD104" s="245">
        <f t="shared" si="25"/>
        <v>14</v>
      </c>
      <c r="AE104" s="51">
        <f t="shared" si="25"/>
        <v>0</v>
      </c>
      <c r="AF104" s="93">
        <f t="shared" si="25"/>
        <v>0</v>
      </c>
      <c r="AG104" s="245">
        <f t="shared" si="25"/>
        <v>20</v>
      </c>
      <c r="AH104" s="51">
        <f t="shared" si="25"/>
        <v>0</v>
      </c>
      <c r="AI104" s="93">
        <f t="shared" si="25"/>
        <v>0</v>
      </c>
      <c r="AJ104" s="245">
        <f t="shared" si="25"/>
        <v>22</v>
      </c>
      <c r="AK104" s="51">
        <f t="shared" si="25"/>
        <v>0</v>
      </c>
      <c r="AL104" s="93">
        <f t="shared" si="25"/>
        <v>0</v>
      </c>
    </row>
    <row r="106" spans="2:5" s="47" customFormat="1" ht="12.75">
      <c r="B106" s="369"/>
      <c r="C106" s="369"/>
      <c r="D106" s="369"/>
      <c r="E106" s="369"/>
    </row>
    <row r="107" s="47" customFormat="1" ht="12.75"/>
    <row r="108" spans="2:5" s="47" customFormat="1" ht="12.75">
      <c r="B108" s="383" t="s">
        <v>10</v>
      </c>
      <c r="C108" s="383"/>
      <c r="D108" s="383"/>
      <c r="E108" s="383"/>
    </row>
    <row r="109" spans="2:5" s="47" customFormat="1" ht="12.75">
      <c r="B109" s="73"/>
      <c r="C109" s="73"/>
      <c r="D109" s="73"/>
      <c r="E109" s="73"/>
    </row>
    <row r="110" spans="2:5" s="47" customFormat="1" ht="12.75">
      <c r="B110" s="383" t="s">
        <v>41</v>
      </c>
      <c r="C110" s="383"/>
      <c r="D110" s="383"/>
      <c r="E110" s="383"/>
    </row>
    <row r="111" spans="2:5" s="47" customFormat="1" ht="12.75">
      <c r="B111" s="73"/>
      <c r="C111" s="73"/>
      <c r="D111" s="73"/>
      <c r="E111" s="73"/>
    </row>
    <row r="112" spans="2:5" s="47" customFormat="1" ht="12.75">
      <c r="B112" s="383" t="s">
        <v>86</v>
      </c>
      <c r="C112" s="383"/>
      <c r="D112" s="383"/>
      <c r="E112" s="383"/>
    </row>
    <row r="113" spans="2:5" s="47" customFormat="1" ht="12.75">
      <c r="B113" s="73"/>
      <c r="C113" s="73"/>
      <c r="D113" s="73"/>
      <c r="E113" s="73"/>
    </row>
    <row r="114" spans="2:5" s="47" customFormat="1" ht="12.75">
      <c r="B114" s="383">
        <v>2016</v>
      </c>
      <c r="C114" s="383"/>
      <c r="D114" s="383"/>
      <c r="E114" s="383"/>
    </row>
    <row r="115" spans="2:5" s="47" customFormat="1" ht="13.5" thickBot="1">
      <c r="B115" s="4"/>
      <c r="C115" s="4"/>
      <c r="D115" s="4"/>
      <c r="E115" s="4"/>
    </row>
    <row r="116" spans="2:38" s="47" customFormat="1" ht="13.5" customHeight="1" thickBot="1">
      <c r="B116" s="377" t="s">
        <v>394</v>
      </c>
      <c r="C116" s="374" t="s">
        <v>7</v>
      </c>
      <c r="D116" s="375"/>
      <c r="E116" s="376"/>
      <c r="F116" s="374" t="s">
        <v>433</v>
      </c>
      <c r="G116" s="375"/>
      <c r="H116" s="376"/>
      <c r="I116" s="374" t="s">
        <v>434</v>
      </c>
      <c r="J116" s="375"/>
      <c r="K116" s="376"/>
      <c r="L116" s="374" t="s">
        <v>435</v>
      </c>
      <c r="M116" s="375"/>
      <c r="N116" s="376"/>
      <c r="O116" s="374" t="s">
        <v>436</v>
      </c>
      <c r="P116" s="375"/>
      <c r="Q116" s="376"/>
      <c r="R116" s="374" t="s">
        <v>437</v>
      </c>
      <c r="S116" s="375"/>
      <c r="T116" s="376"/>
      <c r="U116" s="374" t="s">
        <v>438</v>
      </c>
      <c r="V116" s="375"/>
      <c r="W116" s="376"/>
      <c r="X116" s="374" t="s">
        <v>439</v>
      </c>
      <c r="Y116" s="375"/>
      <c r="Z116" s="376"/>
      <c r="AA116" s="374" t="s">
        <v>440</v>
      </c>
      <c r="AB116" s="375"/>
      <c r="AC116" s="376"/>
      <c r="AD116" s="374" t="s">
        <v>441</v>
      </c>
      <c r="AE116" s="375"/>
      <c r="AF116" s="376"/>
      <c r="AG116" s="374" t="s">
        <v>442</v>
      </c>
      <c r="AH116" s="375"/>
      <c r="AI116" s="376"/>
      <c r="AJ116" s="374" t="s">
        <v>443</v>
      </c>
      <c r="AK116" s="375"/>
      <c r="AL116" s="376"/>
    </row>
    <row r="117" spans="2:38" s="47" customFormat="1" ht="12.75" customHeight="1">
      <c r="B117" s="378"/>
      <c r="C117" s="385" t="s">
        <v>66</v>
      </c>
      <c r="D117" s="390" t="s">
        <v>67</v>
      </c>
      <c r="E117" s="391"/>
      <c r="F117" s="385" t="s">
        <v>66</v>
      </c>
      <c r="G117" s="390" t="s">
        <v>67</v>
      </c>
      <c r="H117" s="391"/>
      <c r="I117" s="385" t="s">
        <v>66</v>
      </c>
      <c r="J117" s="390" t="s">
        <v>67</v>
      </c>
      <c r="K117" s="391"/>
      <c r="L117" s="385" t="s">
        <v>66</v>
      </c>
      <c r="M117" s="390" t="s">
        <v>67</v>
      </c>
      <c r="N117" s="391"/>
      <c r="O117" s="385" t="s">
        <v>66</v>
      </c>
      <c r="P117" s="390" t="s">
        <v>67</v>
      </c>
      <c r="Q117" s="391"/>
      <c r="R117" s="385" t="s">
        <v>66</v>
      </c>
      <c r="S117" s="390" t="s">
        <v>67</v>
      </c>
      <c r="T117" s="391"/>
      <c r="U117" s="385" t="s">
        <v>66</v>
      </c>
      <c r="V117" s="390" t="s">
        <v>67</v>
      </c>
      <c r="W117" s="391"/>
      <c r="X117" s="385" t="s">
        <v>66</v>
      </c>
      <c r="Y117" s="390" t="s">
        <v>67</v>
      </c>
      <c r="Z117" s="391"/>
      <c r="AA117" s="385" t="s">
        <v>66</v>
      </c>
      <c r="AB117" s="390" t="s">
        <v>67</v>
      </c>
      <c r="AC117" s="391"/>
      <c r="AD117" s="385" t="s">
        <v>66</v>
      </c>
      <c r="AE117" s="390" t="s">
        <v>67</v>
      </c>
      <c r="AF117" s="391"/>
      <c r="AG117" s="385" t="s">
        <v>66</v>
      </c>
      <c r="AH117" s="390" t="s">
        <v>67</v>
      </c>
      <c r="AI117" s="391"/>
      <c r="AJ117" s="385" t="s">
        <v>66</v>
      </c>
      <c r="AK117" s="390" t="s">
        <v>67</v>
      </c>
      <c r="AL117" s="391"/>
    </row>
    <row r="118" spans="2:38" s="47" customFormat="1" ht="12.75">
      <c r="B118" s="379"/>
      <c r="C118" s="386"/>
      <c r="D118" s="392"/>
      <c r="E118" s="389"/>
      <c r="F118" s="386"/>
      <c r="G118" s="392"/>
      <c r="H118" s="389"/>
      <c r="I118" s="386"/>
      <c r="J118" s="392"/>
      <c r="K118" s="389"/>
      <c r="L118" s="386"/>
      <c r="M118" s="392"/>
      <c r="N118" s="389"/>
      <c r="O118" s="386"/>
      <c r="P118" s="392"/>
      <c r="Q118" s="389"/>
      <c r="R118" s="386"/>
      <c r="S118" s="392"/>
      <c r="T118" s="389"/>
      <c r="U118" s="386"/>
      <c r="V118" s="392"/>
      <c r="W118" s="389"/>
      <c r="X118" s="386"/>
      <c r="Y118" s="392"/>
      <c r="Z118" s="389"/>
      <c r="AA118" s="386"/>
      <c r="AB118" s="392"/>
      <c r="AC118" s="389"/>
      <c r="AD118" s="386"/>
      <c r="AE118" s="392"/>
      <c r="AF118" s="389"/>
      <c r="AG118" s="386"/>
      <c r="AH118" s="392"/>
      <c r="AI118" s="389"/>
      <c r="AJ118" s="386"/>
      <c r="AK118" s="392"/>
      <c r="AL118" s="389"/>
    </row>
    <row r="119" spans="2:38" s="47" customFormat="1" ht="26.25" thickBot="1">
      <c r="B119" s="380"/>
      <c r="C119" s="74" t="s">
        <v>68</v>
      </c>
      <c r="D119" s="63" t="s">
        <v>69</v>
      </c>
      <c r="E119" s="75" t="s">
        <v>70</v>
      </c>
      <c r="F119" s="74" t="s">
        <v>68</v>
      </c>
      <c r="G119" s="63" t="s">
        <v>69</v>
      </c>
      <c r="H119" s="75" t="s">
        <v>70</v>
      </c>
      <c r="I119" s="74" t="s">
        <v>68</v>
      </c>
      <c r="J119" s="63" t="s">
        <v>69</v>
      </c>
      <c r="K119" s="75" t="s">
        <v>70</v>
      </c>
      <c r="L119" s="74" t="s">
        <v>68</v>
      </c>
      <c r="M119" s="63" t="s">
        <v>69</v>
      </c>
      <c r="N119" s="75" t="s">
        <v>70</v>
      </c>
      <c r="O119" s="74" t="s">
        <v>68</v>
      </c>
      <c r="P119" s="63" t="s">
        <v>69</v>
      </c>
      <c r="Q119" s="75" t="s">
        <v>70</v>
      </c>
      <c r="R119" s="74" t="s">
        <v>68</v>
      </c>
      <c r="S119" s="63" t="s">
        <v>69</v>
      </c>
      <c r="T119" s="75" t="s">
        <v>70</v>
      </c>
      <c r="U119" s="74" t="s">
        <v>68</v>
      </c>
      <c r="V119" s="63" t="s">
        <v>69</v>
      </c>
      <c r="W119" s="75" t="s">
        <v>70</v>
      </c>
      <c r="X119" s="74" t="s">
        <v>68</v>
      </c>
      <c r="Y119" s="63" t="s">
        <v>69</v>
      </c>
      <c r="Z119" s="75" t="s">
        <v>70</v>
      </c>
      <c r="AA119" s="74" t="s">
        <v>68</v>
      </c>
      <c r="AB119" s="63" t="s">
        <v>69</v>
      </c>
      <c r="AC119" s="75" t="s">
        <v>70</v>
      </c>
      <c r="AD119" s="74" t="s">
        <v>68</v>
      </c>
      <c r="AE119" s="63" t="s">
        <v>69</v>
      </c>
      <c r="AF119" s="75" t="s">
        <v>70</v>
      </c>
      <c r="AG119" s="74" t="s">
        <v>68</v>
      </c>
      <c r="AH119" s="63" t="s">
        <v>69</v>
      </c>
      <c r="AI119" s="75" t="s">
        <v>70</v>
      </c>
      <c r="AJ119" s="74" t="s">
        <v>68</v>
      </c>
      <c r="AK119" s="63" t="s">
        <v>69</v>
      </c>
      <c r="AL119" s="75" t="s">
        <v>70</v>
      </c>
    </row>
    <row r="120" spans="2:38" s="47" customFormat="1" ht="15" customHeight="1">
      <c r="B120" s="38" t="s">
        <v>143</v>
      </c>
      <c r="C120" s="76">
        <v>4</v>
      </c>
      <c r="D120" s="65">
        <v>2</v>
      </c>
      <c r="E120" s="77">
        <v>89</v>
      </c>
      <c r="F120" s="76">
        <v>9</v>
      </c>
      <c r="G120" s="65">
        <v>6</v>
      </c>
      <c r="H120" s="77">
        <v>133</v>
      </c>
      <c r="I120" s="76">
        <v>2</v>
      </c>
      <c r="J120" s="65">
        <v>1</v>
      </c>
      <c r="K120" s="77">
        <v>98</v>
      </c>
      <c r="L120" s="76">
        <v>3</v>
      </c>
      <c r="M120" s="65">
        <v>0</v>
      </c>
      <c r="N120" s="77">
        <v>0</v>
      </c>
      <c r="O120" s="76">
        <v>5</v>
      </c>
      <c r="P120" s="65">
        <v>0</v>
      </c>
      <c r="Q120" s="77">
        <v>0</v>
      </c>
      <c r="R120" s="76">
        <v>0</v>
      </c>
      <c r="S120" s="65">
        <v>0</v>
      </c>
      <c r="T120" s="77">
        <v>0</v>
      </c>
      <c r="U120" s="76">
        <v>8</v>
      </c>
      <c r="V120" s="65">
        <v>0</v>
      </c>
      <c r="W120" s="77">
        <v>0</v>
      </c>
      <c r="X120" s="76">
        <v>5</v>
      </c>
      <c r="Y120" s="65">
        <v>0</v>
      </c>
      <c r="Z120" s="77">
        <v>0</v>
      </c>
      <c r="AA120" s="76">
        <v>9</v>
      </c>
      <c r="AB120" s="65">
        <v>0</v>
      </c>
      <c r="AC120" s="77">
        <v>0</v>
      </c>
      <c r="AD120" s="76">
        <v>5</v>
      </c>
      <c r="AE120" s="65">
        <v>0</v>
      </c>
      <c r="AF120" s="77">
        <v>0</v>
      </c>
      <c r="AG120" s="76">
        <v>5</v>
      </c>
      <c r="AH120" s="65">
        <v>0</v>
      </c>
      <c r="AI120" s="77">
        <v>0</v>
      </c>
      <c r="AJ120" s="76">
        <v>13</v>
      </c>
      <c r="AK120" s="65">
        <v>0</v>
      </c>
      <c r="AL120" s="77">
        <v>0</v>
      </c>
    </row>
    <row r="121" spans="2:38" s="47" customFormat="1" ht="15" customHeight="1">
      <c r="B121" s="39" t="s">
        <v>144</v>
      </c>
      <c r="C121" s="58">
        <v>0</v>
      </c>
      <c r="D121" s="55">
        <v>0</v>
      </c>
      <c r="E121" s="59">
        <v>19</v>
      </c>
      <c r="F121" s="58">
        <v>0</v>
      </c>
      <c r="G121" s="55">
        <v>0</v>
      </c>
      <c r="H121" s="59">
        <v>8</v>
      </c>
      <c r="I121" s="58">
        <v>0</v>
      </c>
      <c r="J121" s="55">
        <v>0</v>
      </c>
      <c r="K121" s="59">
        <v>8</v>
      </c>
      <c r="L121" s="58">
        <v>0</v>
      </c>
      <c r="M121" s="55">
        <v>0</v>
      </c>
      <c r="N121" s="59">
        <v>0</v>
      </c>
      <c r="O121" s="58">
        <v>0</v>
      </c>
      <c r="P121" s="55">
        <v>0</v>
      </c>
      <c r="Q121" s="59">
        <v>0</v>
      </c>
      <c r="R121" s="58">
        <v>1</v>
      </c>
      <c r="S121" s="55">
        <v>0</v>
      </c>
      <c r="T121" s="59">
        <v>0</v>
      </c>
      <c r="U121" s="58">
        <v>1</v>
      </c>
      <c r="V121" s="55">
        <v>0</v>
      </c>
      <c r="W121" s="59">
        <v>0</v>
      </c>
      <c r="X121" s="58">
        <v>0</v>
      </c>
      <c r="Y121" s="55">
        <v>0</v>
      </c>
      <c r="Z121" s="59">
        <v>0</v>
      </c>
      <c r="AA121" s="58">
        <v>1</v>
      </c>
      <c r="AB121" s="55">
        <v>0</v>
      </c>
      <c r="AC121" s="59">
        <v>0</v>
      </c>
      <c r="AD121" s="58">
        <v>2</v>
      </c>
      <c r="AE121" s="55">
        <v>0</v>
      </c>
      <c r="AF121" s="59">
        <v>0</v>
      </c>
      <c r="AG121" s="58">
        <v>3</v>
      </c>
      <c r="AH121" s="55">
        <v>0</v>
      </c>
      <c r="AI121" s="59">
        <v>0</v>
      </c>
      <c r="AJ121" s="58">
        <v>0</v>
      </c>
      <c r="AK121" s="55">
        <v>0</v>
      </c>
      <c r="AL121" s="59">
        <v>0</v>
      </c>
    </row>
    <row r="122" spans="2:38" s="47" customFormat="1" ht="15" customHeight="1">
      <c r="B122" s="39" t="s">
        <v>145</v>
      </c>
      <c r="C122" s="58">
        <v>1</v>
      </c>
      <c r="D122" s="55">
        <v>1</v>
      </c>
      <c r="E122" s="59">
        <v>0</v>
      </c>
      <c r="F122" s="58">
        <v>2</v>
      </c>
      <c r="G122" s="55">
        <v>2</v>
      </c>
      <c r="H122" s="59">
        <v>3</v>
      </c>
      <c r="I122" s="58">
        <v>0</v>
      </c>
      <c r="J122" s="55">
        <v>0</v>
      </c>
      <c r="K122" s="59">
        <v>1</v>
      </c>
      <c r="L122" s="58">
        <v>0</v>
      </c>
      <c r="M122" s="55">
        <v>0</v>
      </c>
      <c r="N122" s="59">
        <v>0</v>
      </c>
      <c r="O122" s="58">
        <v>5</v>
      </c>
      <c r="P122" s="55">
        <v>0</v>
      </c>
      <c r="Q122" s="59">
        <v>5</v>
      </c>
      <c r="R122" s="58">
        <v>0</v>
      </c>
      <c r="S122" s="55">
        <v>0</v>
      </c>
      <c r="T122" s="59">
        <v>7</v>
      </c>
      <c r="U122" s="58">
        <v>1</v>
      </c>
      <c r="V122" s="55">
        <v>0</v>
      </c>
      <c r="W122" s="59">
        <v>7</v>
      </c>
      <c r="X122" s="58">
        <v>0</v>
      </c>
      <c r="Y122" s="55">
        <v>0</v>
      </c>
      <c r="Z122" s="59">
        <v>0</v>
      </c>
      <c r="AA122" s="58">
        <v>0</v>
      </c>
      <c r="AB122" s="55">
        <v>0</v>
      </c>
      <c r="AC122" s="59">
        <v>0</v>
      </c>
      <c r="AD122" s="58">
        <v>3</v>
      </c>
      <c r="AE122" s="55">
        <v>0</v>
      </c>
      <c r="AF122" s="59">
        <v>0</v>
      </c>
      <c r="AG122" s="58">
        <v>2</v>
      </c>
      <c r="AH122" s="55">
        <v>0</v>
      </c>
      <c r="AI122" s="59">
        <v>0</v>
      </c>
      <c r="AJ122" s="58">
        <v>0</v>
      </c>
      <c r="AK122" s="55">
        <v>0</v>
      </c>
      <c r="AL122" s="59">
        <v>0</v>
      </c>
    </row>
    <row r="123" spans="2:38" s="47" customFormat="1" ht="15" customHeight="1">
      <c r="B123" s="39" t="s">
        <v>146</v>
      </c>
      <c r="C123" s="58">
        <v>0</v>
      </c>
      <c r="D123" s="55">
        <v>0</v>
      </c>
      <c r="E123" s="59">
        <v>0</v>
      </c>
      <c r="F123" s="58">
        <v>0</v>
      </c>
      <c r="G123" s="55">
        <v>0</v>
      </c>
      <c r="H123" s="59">
        <v>3</v>
      </c>
      <c r="I123" s="58">
        <v>1</v>
      </c>
      <c r="J123" s="55">
        <v>0</v>
      </c>
      <c r="K123" s="59">
        <v>0</v>
      </c>
      <c r="L123" s="58">
        <v>0</v>
      </c>
      <c r="M123" s="55">
        <v>0</v>
      </c>
      <c r="N123" s="59">
        <v>0</v>
      </c>
      <c r="O123" s="58">
        <v>1</v>
      </c>
      <c r="P123" s="55">
        <v>0</v>
      </c>
      <c r="Q123" s="59">
        <v>0</v>
      </c>
      <c r="R123" s="58">
        <v>0</v>
      </c>
      <c r="S123" s="55">
        <v>0</v>
      </c>
      <c r="T123" s="59">
        <v>0</v>
      </c>
      <c r="U123" s="58">
        <v>0</v>
      </c>
      <c r="V123" s="55">
        <v>0</v>
      </c>
      <c r="W123" s="59">
        <v>0</v>
      </c>
      <c r="X123" s="58">
        <v>0</v>
      </c>
      <c r="Y123" s="55">
        <v>0</v>
      </c>
      <c r="Z123" s="59">
        <v>0</v>
      </c>
      <c r="AA123" s="58">
        <v>0</v>
      </c>
      <c r="AB123" s="55">
        <v>0</v>
      </c>
      <c r="AC123" s="59">
        <v>0</v>
      </c>
      <c r="AD123" s="58">
        <v>0</v>
      </c>
      <c r="AE123" s="55">
        <v>0</v>
      </c>
      <c r="AF123" s="59">
        <v>0</v>
      </c>
      <c r="AG123" s="58">
        <v>2</v>
      </c>
      <c r="AH123" s="55">
        <v>0</v>
      </c>
      <c r="AI123" s="59">
        <v>0</v>
      </c>
      <c r="AJ123" s="58">
        <v>0</v>
      </c>
      <c r="AK123" s="55">
        <v>0</v>
      </c>
      <c r="AL123" s="59">
        <v>0</v>
      </c>
    </row>
    <row r="124" spans="2:38" s="47" customFormat="1" ht="15" customHeight="1">
      <c r="B124" s="39" t="s">
        <v>147</v>
      </c>
      <c r="C124" s="58">
        <v>0</v>
      </c>
      <c r="D124" s="55">
        <v>0</v>
      </c>
      <c r="E124" s="59">
        <v>11</v>
      </c>
      <c r="F124" s="58">
        <v>0</v>
      </c>
      <c r="G124" s="55">
        <v>0</v>
      </c>
      <c r="H124" s="59">
        <v>17</v>
      </c>
      <c r="I124" s="58">
        <v>1</v>
      </c>
      <c r="J124" s="55">
        <v>0</v>
      </c>
      <c r="K124" s="59">
        <v>2</v>
      </c>
      <c r="L124" s="58">
        <v>0</v>
      </c>
      <c r="M124" s="55">
        <v>0</v>
      </c>
      <c r="N124" s="59">
        <v>0</v>
      </c>
      <c r="O124" s="58">
        <v>0</v>
      </c>
      <c r="P124" s="55">
        <v>0</v>
      </c>
      <c r="Q124" s="59">
        <v>0</v>
      </c>
      <c r="R124" s="58">
        <v>1</v>
      </c>
      <c r="S124" s="55">
        <v>0</v>
      </c>
      <c r="T124" s="59">
        <v>0</v>
      </c>
      <c r="U124" s="58">
        <v>1</v>
      </c>
      <c r="V124" s="55">
        <v>0</v>
      </c>
      <c r="W124" s="59">
        <v>0</v>
      </c>
      <c r="X124" s="58">
        <v>0</v>
      </c>
      <c r="Y124" s="55">
        <v>0</v>
      </c>
      <c r="Z124" s="59">
        <v>0</v>
      </c>
      <c r="AA124" s="58">
        <v>0</v>
      </c>
      <c r="AB124" s="55">
        <v>0</v>
      </c>
      <c r="AC124" s="59">
        <v>0</v>
      </c>
      <c r="AD124" s="58">
        <v>1</v>
      </c>
      <c r="AE124" s="55">
        <v>0</v>
      </c>
      <c r="AF124" s="59">
        <v>0</v>
      </c>
      <c r="AG124" s="58">
        <v>0</v>
      </c>
      <c r="AH124" s="55">
        <v>0</v>
      </c>
      <c r="AI124" s="59">
        <v>0</v>
      </c>
      <c r="AJ124" s="58">
        <v>0</v>
      </c>
      <c r="AK124" s="55">
        <v>0</v>
      </c>
      <c r="AL124" s="59">
        <v>0</v>
      </c>
    </row>
    <row r="125" spans="2:38" s="47" customFormat="1" ht="15" customHeight="1">
      <c r="B125" s="39" t="s">
        <v>148</v>
      </c>
      <c r="C125" s="58">
        <v>0</v>
      </c>
      <c r="D125" s="55">
        <v>0</v>
      </c>
      <c r="E125" s="59">
        <v>15</v>
      </c>
      <c r="F125" s="58">
        <v>0</v>
      </c>
      <c r="G125" s="55">
        <v>1</v>
      </c>
      <c r="H125" s="59">
        <v>9</v>
      </c>
      <c r="I125" s="58">
        <v>0</v>
      </c>
      <c r="J125" s="55">
        <v>0</v>
      </c>
      <c r="K125" s="59">
        <v>9</v>
      </c>
      <c r="L125" s="58">
        <v>0</v>
      </c>
      <c r="M125" s="55">
        <v>0</v>
      </c>
      <c r="N125" s="59">
        <v>11</v>
      </c>
      <c r="O125" s="58">
        <v>0</v>
      </c>
      <c r="P125" s="55">
        <v>0</v>
      </c>
      <c r="Q125" s="59">
        <v>7</v>
      </c>
      <c r="R125" s="58">
        <v>0</v>
      </c>
      <c r="S125" s="55">
        <v>0</v>
      </c>
      <c r="T125" s="59">
        <v>10</v>
      </c>
      <c r="U125" s="58">
        <v>0</v>
      </c>
      <c r="V125" s="55">
        <v>0</v>
      </c>
      <c r="W125" s="59">
        <v>18</v>
      </c>
      <c r="X125" s="58">
        <v>0</v>
      </c>
      <c r="Y125" s="55">
        <v>0</v>
      </c>
      <c r="Z125" s="59">
        <v>11</v>
      </c>
      <c r="AA125" s="58">
        <v>0</v>
      </c>
      <c r="AB125" s="55">
        <v>0</v>
      </c>
      <c r="AC125" s="59">
        <v>7</v>
      </c>
      <c r="AD125" s="58">
        <v>0</v>
      </c>
      <c r="AE125" s="55">
        <v>0</v>
      </c>
      <c r="AF125" s="59">
        <v>7</v>
      </c>
      <c r="AG125" s="58">
        <v>0</v>
      </c>
      <c r="AH125" s="55">
        <v>0</v>
      </c>
      <c r="AI125" s="59">
        <v>4</v>
      </c>
      <c r="AJ125" s="58">
        <v>0</v>
      </c>
      <c r="AK125" s="55">
        <v>0</v>
      </c>
      <c r="AL125" s="59">
        <v>2</v>
      </c>
    </row>
    <row r="126" spans="2:38" s="47" customFormat="1" ht="15" customHeight="1">
      <c r="B126" s="39" t="s">
        <v>149</v>
      </c>
      <c r="C126" s="58">
        <v>2</v>
      </c>
      <c r="D126" s="55">
        <v>1</v>
      </c>
      <c r="E126" s="59">
        <v>288</v>
      </c>
      <c r="F126" s="58">
        <v>1</v>
      </c>
      <c r="G126" s="55">
        <v>3</v>
      </c>
      <c r="H126" s="59">
        <v>211</v>
      </c>
      <c r="I126" s="58">
        <v>3</v>
      </c>
      <c r="J126" s="55">
        <v>2</v>
      </c>
      <c r="K126" s="59">
        <v>174</v>
      </c>
      <c r="L126" s="58">
        <v>0</v>
      </c>
      <c r="M126" s="55">
        <v>0</v>
      </c>
      <c r="N126" s="59">
        <v>0</v>
      </c>
      <c r="O126" s="58">
        <v>1</v>
      </c>
      <c r="P126" s="55">
        <v>0</v>
      </c>
      <c r="Q126" s="59">
        <v>0</v>
      </c>
      <c r="R126" s="58">
        <v>1</v>
      </c>
      <c r="S126" s="55">
        <v>0</v>
      </c>
      <c r="T126" s="59">
        <v>0</v>
      </c>
      <c r="U126" s="58">
        <v>1</v>
      </c>
      <c r="V126" s="55">
        <v>0</v>
      </c>
      <c r="W126" s="59">
        <v>0</v>
      </c>
      <c r="X126" s="58">
        <v>3</v>
      </c>
      <c r="Y126" s="55">
        <v>0</v>
      </c>
      <c r="Z126" s="59">
        <v>0</v>
      </c>
      <c r="AA126" s="58">
        <v>1</v>
      </c>
      <c r="AB126" s="55">
        <v>0</v>
      </c>
      <c r="AC126" s="59">
        <v>0</v>
      </c>
      <c r="AD126" s="58">
        <v>3</v>
      </c>
      <c r="AE126" s="55">
        <v>0</v>
      </c>
      <c r="AF126" s="59">
        <v>0</v>
      </c>
      <c r="AG126" s="58">
        <v>1</v>
      </c>
      <c r="AH126" s="55">
        <v>0</v>
      </c>
      <c r="AI126" s="59">
        <v>0</v>
      </c>
      <c r="AJ126" s="58">
        <v>1</v>
      </c>
      <c r="AK126" s="55">
        <v>0</v>
      </c>
      <c r="AL126" s="59">
        <v>0</v>
      </c>
    </row>
    <row r="127" spans="2:38" s="47" customFormat="1" ht="15" customHeight="1">
      <c r="B127" s="39" t="s">
        <v>150</v>
      </c>
      <c r="C127" s="58">
        <v>0</v>
      </c>
      <c r="D127" s="55">
        <v>0</v>
      </c>
      <c r="E127" s="59">
        <v>0</v>
      </c>
      <c r="F127" s="58">
        <v>0</v>
      </c>
      <c r="G127" s="55">
        <v>0</v>
      </c>
      <c r="H127" s="59">
        <v>0</v>
      </c>
      <c r="I127" s="58">
        <v>0</v>
      </c>
      <c r="J127" s="55">
        <v>0</v>
      </c>
      <c r="K127" s="59">
        <v>0</v>
      </c>
      <c r="L127" s="58">
        <v>0</v>
      </c>
      <c r="M127" s="55">
        <v>0</v>
      </c>
      <c r="N127" s="59">
        <v>0</v>
      </c>
      <c r="O127" s="58">
        <v>0</v>
      </c>
      <c r="P127" s="55">
        <v>0</v>
      </c>
      <c r="Q127" s="59">
        <v>0</v>
      </c>
      <c r="R127" s="58">
        <v>0</v>
      </c>
      <c r="S127" s="55">
        <v>0</v>
      </c>
      <c r="T127" s="59">
        <v>0</v>
      </c>
      <c r="U127" s="58">
        <v>0</v>
      </c>
      <c r="V127" s="55">
        <v>0</v>
      </c>
      <c r="W127" s="59">
        <v>0</v>
      </c>
      <c r="X127" s="58">
        <v>0</v>
      </c>
      <c r="Y127" s="55">
        <v>0</v>
      </c>
      <c r="Z127" s="59">
        <v>0</v>
      </c>
      <c r="AA127" s="58">
        <v>0</v>
      </c>
      <c r="AB127" s="55">
        <v>0</v>
      </c>
      <c r="AC127" s="59">
        <v>0</v>
      </c>
      <c r="AD127" s="58">
        <v>0</v>
      </c>
      <c r="AE127" s="55">
        <v>0</v>
      </c>
      <c r="AF127" s="59">
        <v>0</v>
      </c>
      <c r="AG127" s="58">
        <v>0</v>
      </c>
      <c r="AH127" s="55">
        <v>0</v>
      </c>
      <c r="AI127" s="59">
        <v>0</v>
      </c>
      <c r="AJ127" s="58">
        <v>0</v>
      </c>
      <c r="AK127" s="55">
        <v>0</v>
      </c>
      <c r="AL127" s="59">
        <v>0</v>
      </c>
    </row>
    <row r="128" spans="2:38" s="47" customFormat="1" ht="15" customHeight="1">
      <c r="B128" s="39" t="s">
        <v>151</v>
      </c>
      <c r="C128" s="58">
        <v>0</v>
      </c>
      <c r="D128" s="55">
        <v>0</v>
      </c>
      <c r="E128" s="59">
        <v>3</v>
      </c>
      <c r="F128" s="58">
        <v>0</v>
      </c>
      <c r="G128" s="55">
        <v>1</v>
      </c>
      <c r="H128" s="59">
        <v>1</v>
      </c>
      <c r="I128" s="58">
        <v>0</v>
      </c>
      <c r="J128" s="55">
        <v>0</v>
      </c>
      <c r="K128" s="59">
        <v>0</v>
      </c>
      <c r="L128" s="58">
        <v>0</v>
      </c>
      <c r="M128" s="55">
        <v>0</v>
      </c>
      <c r="N128" s="59">
        <v>2</v>
      </c>
      <c r="O128" s="58">
        <v>0</v>
      </c>
      <c r="P128" s="55">
        <v>0</v>
      </c>
      <c r="Q128" s="59">
        <v>1</v>
      </c>
      <c r="R128" s="58">
        <v>0</v>
      </c>
      <c r="S128" s="55">
        <v>0</v>
      </c>
      <c r="T128" s="59">
        <v>0</v>
      </c>
      <c r="U128" s="58">
        <v>0</v>
      </c>
      <c r="V128" s="55">
        <v>0</v>
      </c>
      <c r="W128" s="59">
        <v>0</v>
      </c>
      <c r="X128" s="58">
        <v>0</v>
      </c>
      <c r="Y128" s="55">
        <v>0</v>
      </c>
      <c r="Z128" s="59">
        <v>0</v>
      </c>
      <c r="AA128" s="58">
        <v>0</v>
      </c>
      <c r="AB128" s="55">
        <v>0</v>
      </c>
      <c r="AC128" s="59">
        <v>0</v>
      </c>
      <c r="AD128" s="58">
        <v>0</v>
      </c>
      <c r="AE128" s="55">
        <v>0</v>
      </c>
      <c r="AF128" s="59">
        <v>0</v>
      </c>
      <c r="AG128" s="58">
        <v>0</v>
      </c>
      <c r="AH128" s="55">
        <v>0</v>
      </c>
      <c r="AI128" s="59">
        <v>0</v>
      </c>
      <c r="AJ128" s="58">
        <v>0</v>
      </c>
      <c r="AK128" s="55">
        <v>0</v>
      </c>
      <c r="AL128" s="59">
        <v>0</v>
      </c>
    </row>
    <row r="129" spans="2:38" s="47" customFormat="1" ht="15" customHeight="1">
      <c r="B129" s="39" t="s">
        <v>152</v>
      </c>
      <c r="C129" s="58">
        <v>0</v>
      </c>
      <c r="D129" s="55">
        <v>0</v>
      </c>
      <c r="E129" s="59">
        <v>10</v>
      </c>
      <c r="F129" s="58">
        <v>0</v>
      </c>
      <c r="G129" s="55">
        <v>0</v>
      </c>
      <c r="H129" s="59">
        <v>3</v>
      </c>
      <c r="I129" s="58">
        <v>0</v>
      </c>
      <c r="J129" s="55">
        <v>0</v>
      </c>
      <c r="K129" s="59">
        <v>2</v>
      </c>
      <c r="L129" s="58">
        <v>0</v>
      </c>
      <c r="M129" s="55">
        <v>0</v>
      </c>
      <c r="N129" s="59">
        <v>0</v>
      </c>
      <c r="O129" s="58">
        <v>0</v>
      </c>
      <c r="P129" s="55">
        <v>0</v>
      </c>
      <c r="Q129" s="59">
        <v>0</v>
      </c>
      <c r="R129" s="58">
        <v>0</v>
      </c>
      <c r="S129" s="55">
        <v>0</v>
      </c>
      <c r="T129" s="59">
        <v>0</v>
      </c>
      <c r="U129" s="58">
        <v>0</v>
      </c>
      <c r="V129" s="55">
        <v>0</v>
      </c>
      <c r="W129" s="59">
        <v>0</v>
      </c>
      <c r="X129" s="58">
        <v>0</v>
      </c>
      <c r="Y129" s="55">
        <v>0</v>
      </c>
      <c r="Z129" s="59">
        <v>0</v>
      </c>
      <c r="AA129" s="58">
        <v>0</v>
      </c>
      <c r="AB129" s="55">
        <v>0</v>
      </c>
      <c r="AC129" s="59">
        <v>0</v>
      </c>
      <c r="AD129" s="58">
        <v>0</v>
      </c>
      <c r="AE129" s="55">
        <v>0</v>
      </c>
      <c r="AF129" s="59">
        <v>0</v>
      </c>
      <c r="AG129" s="58">
        <v>0</v>
      </c>
      <c r="AH129" s="55">
        <v>0</v>
      </c>
      <c r="AI129" s="59">
        <v>0</v>
      </c>
      <c r="AJ129" s="58">
        <v>2</v>
      </c>
      <c r="AK129" s="55">
        <v>0</v>
      </c>
      <c r="AL129" s="59">
        <v>0</v>
      </c>
    </row>
    <row r="130" spans="2:38" s="47" customFormat="1" ht="15" customHeight="1">
      <c r="B130" s="39" t="s">
        <v>153</v>
      </c>
      <c r="C130" s="58">
        <v>2</v>
      </c>
      <c r="D130" s="55">
        <v>1</v>
      </c>
      <c r="E130" s="59">
        <v>144</v>
      </c>
      <c r="F130" s="58">
        <v>2</v>
      </c>
      <c r="G130" s="55">
        <v>4</v>
      </c>
      <c r="H130" s="59">
        <v>104</v>
      </c>
      <c r="I130" s="58">
        <v>1</v>
      </c>
      <c r="J130" s="55">
        <v>0</v>
      </c>
      <c r="K130" s="59">
        <v>109</v>
      </c>
      <c r="L130" s="58">
        <v>3</v>
      </c>
      <c r="M130" s="55">
        <v>0</v>
      </c>
      <c r="N130" s="59">
        <v>0</v>
      </c>
      <c r="O130" s="58">
        <v>1</v>
      </c>
      <c r="P130" s="55">
        <v>0</v>
      </c>
      <c r="Q130" s="59">
        <v>0</v>
      </c>
      <c r="R130" s="58">
        <v>0</v>
      </c>
      <c r="S130" s="55">
        <v>0</v>
      </c>
      <c r="T130" s="59">
        <v>0</v>
      </c>
      <c r="U130" s="58">
        <v>2</v>
      </c>
      <c r="V130" s="55">
        <v>0</v>
      </c>
      <c r="W130" s="59">
        <v>0</v>
      </c>
      <c r="X130" s="58">
        <v>3</v>
      </c>
      <c r="Y130" s="55">
        <v>0</v>
      </c>
      <c r="Z130" s="59">
        <v>0</v>
      </c>
      <c r="AA130" s="58">
        <v>1</v>
      </c>
      <c r="AB130" s="55">
        <v>0</v>
      </c>
      <c r="AC130" s="59">
        <v>0</v>
      </c>
      <c r="AD130" s="58">
        <v>3</v>
      </c>
      <c r="AE130" s="55">
        <v>0</v>
      </c>
      <c r="AF130" s="59">
        <v>0</v>
      </c>
      <c r="AG130" s="58">
        <v>0</v>
      </c>
      <c r="AH130" s="55">
        <v>0</v>
      </c>
      <c r="AI130" s="59">
        <v>0</v>
      </c>
      <c r="AJ130" s="58">
        <v>1</v>
      </c>
      <c r="AK130" s="55">
        <v>0</v>
      </c>
      <c r="AL130" s="59">
        <v>0</v>
      </c>
    </row>
    <row r="131" spans="2:38" s="47" customFormat="1" ht="15" customHeight="1">
      <c r="B131" s="39" t="s">
        <v>154</v>
      </c>
      <c r="C131" s="58">
        <v>1</v>
      </c>
      <c r="D131" s="55">
        <v>0</v>
      </c>
      <c r="E131" s="59">
        <v>15</v>
      </c>
      <c r="F131" s="58">
        <v>0</v>
      </c>
      <c r="G131" s="55">
        <v>0</v>
      </c>
      <c r="H131" s="59">
        <v>5</v>
      </c>
      <c r="I131" s="58">
        <v>0</v>
      </c>
      <c r="J131" s="55">
        <v>0</v>
      </c>
      <c r="K131" s="59">
        <v>2</v>
      </c>
      <c r="L131" s="58">
        <v>0</v>
      </c>
      <c r="M131" s="55">
        <v>0</v>
      </c>
      <c r="N131" s="59">
        <v>0</v>
      </c>
      <c r="O131" s="58">
        <v>0</v>
      </c>
      <c r="P131" s="55">
        <v>0</v>
      </c>
      <c r="Q131" s="59">
        <v>0</v>
      </c>
      <c r="R131" s="58">
        <v>0</v>
      </c>
      <c r="S131" s="55">
        <v>0</v>
      </c>
      <c r="T131" s="59">
        <v>0</v>
      </c>
      <c r="U131" s="58">
        <v>1</v>
      </c>
      <c r="V131" s="55">
        <v>0</v>
      </c>
      <c r="W131" s="59">
        <v>0</v>
      </c>
      <c r="X131" s="58">
        <v>0</v>
      </c>
      <c r="Y131" s="55">
        <v>0</v>
      </c>
      <c r="Z131" s="59">
        <v>0</v>
      </c>
      <c r="AA131" s="58">
        <v>0</v>
      </c>
      <c r="AB131" s="55">
        <v>0</v>
      </c>
      <c r="AC131" s="59">
        <v>0</v>
      </c>
      <c r="AD131" s="58">
        <v>0</v>
      </c>
      <c r="AE131" s="55">
        <v>0</v>
      </c>
      <c r="AF131" s="59">
        <v>0</v>
      </c>
      <c r="AG131" s="58">
        <v>0</v>
      </c>
      <c r="AH131" s="55">
        <v>0</v>
      </c>
      <c r="AI131" s="59">
        <v>0</v>
      </c>
      <c r="AJ131" s="58">
        <v>0</v>
      </c>
      <c r="AK131" s="55">
        <v>0</v>
      </c>
      <c r="AL131" s="59">
        <v>0</v>
      </c>
    </row>
    <row r="132" spans="2:38" s="47" customFormat="1" ht="15" customHeight="1">
      <c r="B132" s="39" t="s">
        <v>155</v>
      </c>
      <c r="C132" s="58">
        <v>0</v>
      </c>
      <c r="D132" s="55">
        <v>0</v>
      </c>
      <c r="E132" s="59">
        <v>1</v>
      </c>
      <c r="F132" s="78">
        <v>1</v>
      </c>
      <c r="G132" s="79">
        <v>0</v>
      </c>
      <c r="H132" s="80">
        <v>2</v>
      </c>
      <c r="I132" s="78">
        <v>0</v>
      </c>
      <c r="J132" s="79">
        <v>0</v>
      </c>
      <c r="K132" s="80">
        <v>9</v>
      </c>
      <c r="L132" s="78">
        <v>0</v>
      </c>
      <c r="M132" s="79">
        <v>0</v>
      </c>
      <c r="N132" s="80">
        <v>0</v>
      </c>
      <c r="O132" s="78">
        <v>0</v>
      </c>
      <c r="P132" s="79">
        <v>0</v>
      </c>
      <c r="Q132" s="80">
        <v>0</v>
      </c>
      <c r="R132" s="78">
        <v>0</v>
      </c>
      <c r="S132" s="79">
        <v>0</v>
      </c>
      <c r="T132" s="80">
        <v>0</v>
      </c>
      <c r="U132" s="78">
        <v>0</v>
      </c>
      <c r="V132" s="79">
        <v>0</v>
      </c>
      <c r="W132" s="80">
        <v>0</v>
      </c>
      <c r="X132" s="78">
        <v>0</v>
      </c>
      <c r="Y132" s="79">
        <v>0</v>
      </c>
      <c r="Z132" s="80">
        <v>0</v>
      </c>
      <c r="AA132" s="78">
        <v>0</v>
      </c>
      <c r="AB132" s="79">
        <v>0</v>
      </c>
      <c r="AC132" s="80">
        <v>0</v>
      </c>
      <c r="AD132" s="78">
        <v>1</v>
      </c>
      <c r="AE132" s="79">
        <v>0</v>
      </c>
      <c r="AF132" s="80">
        <v>0</v>
      </c>
      <c r="AG132" s="78">
        <v>1</v>
      </c>
      <c r="AH132" s="79">
        <v>0</v>
      </c>
      <c r="AI132" s="80">
        <v>0</v>
      </c>
      <c r="AJ132" s="78">
        <v>0</v>
      </c>
      <c r="AK132" s="79">
        <v>0</v>
      </c>
      <c r="AL132" s="80">
        <v>0</v>
      </c>
    </row>
    <row r="133" spans="2:38" s="47" customFormat="1" ht="15" customHeight="1">
      <c r="B133" s="39" t="s">
        <v>156</v>
      </c>
      <c r="C133" s="58">
        <v>1</v>
      </c>
      <c r="D133" s="55">
        <v>1</v>
      </c>
      <c r="E133" s="59">
        <v>14</v>
      </c>
      <c r="F133" s="58">
        <v>1</v>
      </c>
      <c r="G133" s="55">
        <v>0</v>
      </c>
      <c r="H133" s="59">
        <v>10</v>
      </c>
      <c r="I133" s="58">
        <v>0</v>
      </c>
      <c r="J133" s="55">
        <v>0</v>
      </c>
      <c r="K133" s="59">
        <v>9</v>
      </c>
      <c r="L133" s="58">
        <v>0</v>
      </c>
      <c r="M133" s="55">
        <v>0</v>
      </c>
      <c r="N133" s="59">
        <v>0</v>
      </c>
      <c r="O133" s="58">
        <v>0</v>
      </c>
      <c r="P133" s="55">
        <v>0</v>
      </c>
      <c r="Q133" s="59">
        <v>0</v>
      </c>
      <c r="R133" s="58">
        <v>0</v>
      </c>
      <c r="S133" s="55">
        <v>0</v>
      </c>
      <c r="T133" s="59">
        <v>0</v>
      </c>
      <c r="U133" s="58">
        <v>0</v>
      </c>
      <c r="V133" s="55">
        <v>0</v>
      </c>
      <c r="W133" s="59">
        <v>0</v>
      </c>
      <c r="X133" s="58">
        <v>0</v>
      </c>
      <c r="Y133" s="55">
        <v>0</v>
      </c>
      <c r="Z133" s="59">
        <v>0</v>
      </c>
      <c r="AA133" s="58">
        <v>2</v>
      </c>
      <c r="AB133" s="55">
        <v>0</v>
      </c>
      <c r="AC133" s="59">
        <v>0</v>
      </c>
      <c r="AD133" s="58">
        <v>0</v>
      </c>
      <c r="AE133" s="55">
        <v>0</v>
      </c>
      <c r="AF133" s="59">
        <v>0</v>
      </c>
      <c r="AG133" s="58">
        <v>1</v>
      </c>
      <c r="AH133" s="55">
        <v>0</v>
      </c>
      <c r="AI133" s="59">
        <v>0</v>
      </c>
      <c r="AJ133" s="58">
        <v>0</v>
      </c>
      <c r="AK133" s="55">
        <v>0</v>
      </c>
      <c r="AL133" s="59">
        <v>0</v>
      </c>
    </row>
    <row r="134" spans="2:38" s="47" customFormat="1" ht="15" customHeight="1">
      <c r="B134" s="39" t="s">
        <v>157</v>
      </c>
      <c r="C134" s="58">
        <v>0</v>
      </c>
      <c r="D134" s="55">
        <v>0</v>
      </c>
      <c r="E134" s="59">
        <v>0</v>
      </c>
      <c r="F134" s="58">
        <v>0</v>
      </c>
      <c r="G134" s="55">
        <v>0</v>
      </c>
      <c r="H134" s="59">
        <v>0</v>
      </c>
      <c r="I134" s="58">
        <v>0</v>
      </c>
      <c r="J134" s="55">
        <v>0</v>
      </c>
      <c r="K134" s="59">
        <v>1</v>
      </c>
      <c r="L134" s="58">
        <v>0</v>
      </c>
      <c r="M134" s="55">
        <v>0</v>
      </c>
      <c r="N134" s="59">
        <v>1</v>
      </c>
      <c r="O134" s="58">
        <v>0</v>
      </c>
      <c r="P134" s="55">
        <v>0</v>
      </c>
      <c r="Q134" s="59">
        <v>0</v>
      </c>
      <c r="R134" s="58">
        <v>0</v>
      </c>
      <c r="S134" s="55">
        <v>0</v>
      </c>
      <c r="T134" s="59">
        <v>1</v>
      </c>
      <c r="U134" s="58">
        <v>0</v>
      </c>
      <c r="V134" s="55">
        <v>0</v>
      </c>
      <c r="W134" s="59">
        <v>1</v>
      </c>
      <c r="X134" s="58">
        <v>1</v>
      </c>
      <c r="Y134" s="55">
        <v>0</v>
      </c>
      <c r="Z134" s="59">
        <v>0</v>
      </c>
      <c r="AA134" s="58">
        <v>0</v>
      </c>
      <c r="AB134" s="55">
        <v>0</v>
      </c>
      <c r="AC134" s="59">
        <v>0</v>
      </c>
      <c r="AD134" s="58">
        <v>0</v>
      </c>
      <c r="AE134" s="55">
        <v>0</v>
      </c>
      <c r="AF134" s="59">
        <v>0</v>
      </c>
      <c r="AG134" s="58">
        <v>0</v>
      </c>
      <c r="AH134" s="55">
        <v>0</v>
      </c>
      <c r="AI134" s="59">
        <v>0</v>
      </c>
      <c r="AJ134" s="58">
        <v>0</v>
      </c>
      <c r="AK134" s="55">
        <v>0</v>
      </c>
      <c r="AL134" s="59">
        <v>1</v>
      </c>
    </row>
    <row r="135" spans="2:38" s="47" customFormat="1" ht="15" customHeight="1">
      <c r="B135" s="39" t="s">
        <v>158</v>
      </c>
      <c r="C135" s="58">
        <v>0</v>
      </c>
      <c r="D135" s="55">
        <v>0</v>
      </c>
      <c r="E135" s="59">
        <v>7</v>
      </c>
      <c r="F135" s="58">
        <v>0</v>
      </c>
      <c r="G135" s="55">
        <v>0</v>
      </c>
      <c r="H135" s="59">
        <v>0</v>
      </c>
      <c r="I135" s="58">
        <v>0</v>
      </c>
      <c r="J135" s="55">
        <v>0</v>
      </c>
      <c r="K135" s="59">
        <v>0</v>
      </c>
      <c r="L135" s="58">
        <v>1</v>
      </c>
      <c r="M135" s="55">
        <v>0</v>
      </c>
      <c r="N135" s="59">
        <v>0</v>
      </c>
      <c r="O135" s="58">
        <v>0</v>
      </c>
      <c r="P135" s="55">
        <v>0</v>
      </c>
      <c r="Q135" s="59">
        <v>0</v>
      </c>
      <c r="R135" s="58">
        <v>0</v>
      </c>
      <c r="S135" s="55">
        <v>0</v>
      </c>
      <c r="T135" s="59">
        <v>0</v>
      </c>
      <c r="U135" s="58">
        <v>0</v>
      </c>
      <c r="V135" s="55">
        <v>0</v>
      </c>
      <c r="W135" s="59">
        <v>0</v>
      </c>
      <c r="X135" s="58">
        <v>0</v>
      </c>
      <c r="Y135" s="55">
        <v>0</v>
      </c>
      <c r="Z135" s="59">
        <v>0</v>
      </c>
      <c r="AA135" s="58">
        <v>0</v>
      </c>
      <c r="AB135" s="55">
        <v>0</v>
      </c>
      <c r="AC135" s="59">
        <v>0</v>
      </c>
      <c r="AD135" s="58">
        <v>0</v>
      </c>
      <c r="AE135" s="55">
        <v>0</v>
      </c>
      <c r="AF135" s="59">
        <v>0</v>
      </c>
      <c r="AG135" s="58">
        <v>0</v>
      </c>
      <c r="AH135" s="55">
        <v>0</v>
      </c>
      <c r="AI135" s="59">
        <v>0</v>
      </c>
      <c r="AJ135" s="58">
        <v>0</v>
      </c>
      <c r="AK135" s="55">
        <v>0</v>
      </c>
      <c r="AL135" s="59">
        <v>0</v>
      </c>
    </row>
    <row r="136" spans="2:38" s="47" customFormat="1" ht="15" customHeight="1" thickBot="1">
      <c r="B136" s="40" t="s">
        <v>159</v>
      </c>
      <c r="C136" s="81">
        <v>0</v>
      </c>
      <c r="D136" s="70">
        <v>0</v>
      </c>
      <c r="E136" s="82">
        <v>1</v>
      </c>
      <c r="F136" s="81">
        <v>0</v>
      </c>
      <c r="G136" s="70">
        <v>0</v>
      </c>
      <c r="H136" s="82">
        <v>1</v>
      </c>
      <c r="I136" s="81">
        <v>0</v>
      </c>
      <c r="J136" s="70">
        <v>0</v>
      </c>
      <c r="K136" s="82">
        <v>2</v>
      </c>
      <c r="L136" s="81">
        <v>0</v>
      </c>
      <c r="M136" s="70">
        <v>0</v>
      </c>
      <c r="N136" s="82">
        <v>0</v>
      </c>
      <c r="O136" s="81">
        <v>0</v>
      </c>
      <c r="P136" s="70">
        <v>0</v>
      </c>
      <c r="Q136" s="82">
        <v>0</v>
      </c>
      <c r="R136" s="81">
        <v>0</v>
      </c>
      <c r="S136" s="70">
        <v>0</v>
      </c>
      <c r="T136" s="82">
        <v>1</v>
      </c>
      <c r="U136" s="81">
        <v>0</v>
      </c>
      <c r="V136" s="70">
        <v>0</v>
      </c>
      <c r="W136" s="82">
        <v>2</v>
      </c>
      <c r="X136" s="81">
        <v>0</v>
      </c>
      <c r="Y136" s="70">
        <v>0</v>
      </c>
      <c r="Z136" s="82">
        <v>0</v>
      </c>
      <c r="AA136" s="81">
        <v>0</v>
      </c>
      <c r="AB136" s="70">
        <v>0</v>
      </c>
      <c r="AC136" s="82">
        <v>0</v>
      </c>
      <c r="AD136" s="81">
        <v>0</v>
      </c>
      <c r="AE136" s="70">
        <v>0</v>
      </c>
      <c r="AF136" s="82">
        <v>1</v>
      </c>
      <c r="AG136" s="81">
        <v>0</v>
      </c>
      <c r="AH136" s="70">
        <v>0</v>
      </c>
      <c r="AI136" s="82">
        <v>0</v>
      </c>
      <c r="AJ136" s="81">
        <v>0</v>
      </c>
      <c r="AK136" s="70">
        <v>0</v>
      </c>
      <c r="AL136" s="82">
        <v>0</v>
      </c>
    </row>
    <row r="137" spans="2:38" s="47" customFormat="1" ht="15" customHeight="1" thickBot="1">
      <c r="B137" s="83" t="s">
        <v>0</v>
      </c>
      <c r="C137" s="44">
        <f aca="true" t="shared" si="26" ref="C137:AL137">SUM(C120:C136)</f>
        <v>11</v>
      </c>
      <c r="D137" s="51">
        <f t="shared" si="26"/>
        <v>6</v>
      </c>
      <c r="E137" s="52">
        <f t="shared" si="26"/>
        <v>617</v>
      </c>
      <c r="F137" s="109">
        <f t="shared" si="26"/>
        <v>16</v>
      </c>
      <c r="G137" s="51">
        <f t="shared" si="26"/>
        <v>17</v>
      </c>
      <c r="H137" s="93">
        <f t="shared" si="26"/>
        <v>510</v>
      </c>
      <c r="I137" s="245">
        <f t="shared" si="26"/>
        <v>8</v>
      </c>
      <c r="J137" s="51">
        <f t="shared" si="26"/>
        <v>3</v>
      </c>
      <c r="K137" s="93">
        <f t="shared" si="26"/>
        <v>426</v>
      </c>
      <c r="L137" s="245">
        <f t="shared" si="26"/>
        <v>7</v>
      </c>
      <c r="M137" s="51">
        <f t="shared" si="26"/>
        <v>0</v>
      </c>
      <c r="N137" s="93">
        <f t="shared" si="26"/>
        <v>14</v>
      </c>
      <c r="O137" s="245">
        <f t="shared" si="26"/>
        <v>13</v>
      </c>
      <c r="P137" s="51">
        <f t="shared" si="26"/>
        <v>0</v>
      </c>
      <c r="Q137" s="93">
        <f t="shared" si="26"/>
        <v>13</v>
      </c>
      <c r="R137" s="245">
        <f t="shared" si="26"/>
        <v>3</v>
      </c>
      <c r="S137" s="51">
        <f t="shared" si="26"/>
        <v>0</v>
      </c>
      <c r="T137" s="93">
        <f t="shared" si="26"/>
        <v>19</v>
      </c>
      <c r="U137" s="245">
        <f t="shared" si="26"/>
        <v>15</v>
      </c>
      <c r="V137" s="51">
        <f t="shared" si="26"/>
        <v>0</v>
      </c>
      <c r="W137" s="93">
        <f t="shared" si="26"/>
        <v>28</v>
      </c>
      <c r="X137" s="245">
        <f t="shared" si="26"/>
        <v>12</v>
      </c>
      <c r="Y137" s="51">
        <f t="shared" si="26"/>
        <v>0</v>
      </c>
      <c r="Z137" s="93">
        <f t="shared" si="26"/>
        <v>11</v>
      </c>
      <c r="AA137" s="245">
        <f t="shared" si="26"/>
        <v>14</v>
      </c>
      <c r="AB137" s="51">
        <f t="shared" si="26"/>
        <v>0</v>
      </c>
      <c r="AC137" s="93">
        <f t="shared" si="26"/>
        <v>7</v>
      </c>
      <c r="AD137" s="245">
        <f t="shared" si="26"/>
        <v>18</v>
      </c>
      <c r="AE137" s="51">
        <f t="shared" si="26"/>
        <v>0</v>
      </c>
      <c r="AF137" s="93">
        <f t="shared" si="26"/>
        <v>8</v>
      </c>
      <c r="AG137" s="245">
        <f t="shared" si="26"/>
        <v>15</v>
      </c>
      <c r="AH137" s="51">
        <f t="shared" si="26"/>
        <v>0</v>
      </c>
      <c r="AI137" s="93">
        <f t="shared" si="26"/>
        <v>4</v>
      </c>
      <c r="AJ137" s="245">
        <f t="shared" si="26"/>
        <v>17</v>
      </c>
      <c r="AK137" s="51">
        <f t="shared" si="26"/>
        <v>0</v>
      </c>
      <c r="AL137" s="93">
        <f t="shared" si="26"/>
        <v>3</v>
      </c>
    </row>
    <row r="138" s="47" customFormat="1" ht="12.75"/>
    <row r="139" spans="2:5" s="47" customFormat="1" ht="12.75">
      <c r="B139" s="369"/>
      <c r="C139" s="369"/>
      <c r="D139" s="369"/>
      <c r="E139" s="369"/>
    </row>
    <row r="140" s="47" customFormat="1" ht="12.75"/>
    <row r="141" spans="2:5" s="47" customFormat="1" ht="12.75">
      <c r="B141" s="383" t="s">
        <v>87</v>
      </c>
      <c r="C141" s="383"/>
      <c r="D141" s="383"/>
      <c r="E141" s="383"/>
    </row>
    <row r="142" spans="2:5" s="47" customFormat="1" ht="12.75">
      <c r="B142" s="73"/>
      <c r="C142" s="73"/>
      <c r="D142" s="73"/>
      <c r="E142" s="73"/>
    </row>
    <row r="143" spans="2:5" s="47" customFormat="1" ht="12.75">
      <c r="B143" s="383" t="s">
        <v>41</v>
      </c>
      <c r="C143" s="383"/>
      <c r="D143" s="383"/>
      <c r="E143" s="383"/>
    </row>
    <row r="144" spans="2:5" s="47" customFormat="1" ht="12.75">
      <c r="B144" s="73"/>
      <c r="C144" s="73"/>
      <c r="D144" s="73"/>
      <c r="E144" s="73"/>
    </row>
    <row r="145" spans="2:5" s="47" customFormat="1" ht="12.75">
      <c r="B145" s="383" t="s">
        <v>86</v>
      </c>
      <c r="C145" s="383"/>
      <c r="D145" s="383"/>
      <c r="E145" s="383"/>
    </row>
    <row r="146" spans="2:5" s="47" customFormat="1" ht="12.75">
      <c r="B146" s="73"/>
      <c r="C146" s="73"/>
      <c r="D146" s="73"/>
      <c r="E146" s="73"/>
    </row>
    <row r="147" spans="2:5" s="47" customFormat="1" ht="12.75">
      <c r="B147" s="383">
        <v>2016</v>
      </c>
      <c r="C147" s="383"/>
      <c r="D147" s="383"/>
      <c r="E147" s="383"/>
    </row>
    <row r="148" spans="2:5" s="47" customFormat="1" ht="13.5" thickBot="1">
      <c r="B148" s="73"/>
      <c r="C148" s="73"/>
      <c r="D148" s="73"/>
      <c r="E148" s="73"/>
    </row>
    <row r="149" spans="2:38" s="47" customFormat="1" ht="13.5" customHeight="1" thickBot="1">
      <c r="B149" s="377" t="s">
        <v>394</v>
      </c>
      <c r="C149" s="374" t="s">
        <v>7</v>
      </c>
      <c r="D149" s="375"/>
      <c r="E149" s="376"/>
      <c r="F149" s="374" t="s">
        <v>433</v>
      </c>
      <c r="G149" s="375"/>
      <c r="H149" s="376"/>
      <c r="I149" s="374" t="s">
        <v>434</v>
      </c>
      <c r="J149" s="375"/>
      <c r="K149" s="376"/>
      <c r="L149" s="374" t="s">
        <v>435</v>
      </c>
      <c r="M149" s="375"/>
      <c r="N149" s="376"/>
      <c r="O149" s="374" t="s">
        <v>436</v>
      </c>
      <c r="P149" s="375"/>
      <c r="Q149" s="376"/>
      <c r="R149" s="374" t="s">
        <v>437</v>
      </c>
      <c r="S149" s="375"/>
      <c r="T149" s="376"/>
      <c r="U149" s="374" t="s">
        <v>438</v>
      </c>
      <c r="V149" s="375"/>
      <c r="W149" s="376"/>
      <c r="X149" s="374" t="s">
        <v>439</v>
      </c>
      <c r="Y149" s="375"/>
      <c r="Z149" s="376"/>
      <c r="AA149" s="374" t="s">
        <v>440</v>
      </c>
      <c r="AB149" s="375"/>
      <c r="AC149" s="376"/>
      <c r="AD149" s="374" t="s">
        <v>441</v>
      </c>
      <c r="AE149" s="375"/>
      <c r="AF149" s="376"/>
      <c r="AG149" s="374" t="s">
        <v>442</v>
      </c>
      <c r="AH149" s="375"/>
      <c r="AI149" s="376"/>
      <c r="AJ149" s="374" t="s">
        <v>443</v>
      </c>
      <c r="AK149" s="375"/>
      <c r="AL149" s="376"/>
    </row>
    <row r="150" spans="2:38" s="47" customFormat="1" ht="12.75" customHeight="1">
      <c r="B150" s="378"/>
      <c r="C150" s="367" t="s">
        <v>66</v>
      </c>
      <c r="D150" s="381" t="s">
        <v>67</v>
      </c>
      <c r="E150" s="371"/>
      <c r="F150" s="367" t="s">
        <v>66</v>
      </c>
      <c r="G150" s="381" t="s">
        <v>67</v>
      </c>
      <c r="H150" s="371"/>
      <c r="I150" s="367" t="s">
        <v>66</v>
      </c>
      <c r="J150" s="381" t="s">
        <v>67</v>
      </c>
      <c r="K150" s="371"/>
      <c r="L150" s="367" t="s">
        <v>66</v>
      </c>
      <c r="M150" s="381" t="s">
        <v>67</v>
      </c>
      <c r="N150" s="371"/>
      <c r="O150" s="367" t="s">
        <v>66</v>
      </c>
      <c r="P150" s="381" t="s">
        <v>67</v>
      </c>
      <c r="Q150" s="371"/>
      <c r="R150" s="367" t="s">
        <v>66</v>
      </c>
      <c r="S150" s="381" t="s">
        <v>67</v>
      </c>
      <c r="T150" s="371"/>
      <c r="U150" s="367" t="s">
        <v>66</v>
      </c>
      <c r="V150" s="381" t="s">
        <v>67</v>
      </c>
      <c r="W150" s="371"/>
      <c r="X150" s="367" t="s">
        <v>66</v>
      </c>
      <c r="Y150" s="381" t="s">
        <v>67</v>
      </c>
      <c r="Z150" s="371"/>
      <c r="AA150" s="367" t="s">
        <v>66</v>
      </c>
      <c r="AB150" s="381" t="s">
        <v>67</v>
      </c>
      <c r="AC150" s="371"/>
      <c r="AD150" s="367" t="s">
        <v>66</v>
      </c>
      <c r="AE150" s="381" t="s">
        <v>67</v>
      </c>
      <c r="AF150" s="371"/>
      <c r="AG150" s="367" t="s">
        <v>66</v>
      </c>
      <c r="AH150" s="381" t="s">
        <v>67</v>
      </c>
      <c r="AI150" s="371"/>
      <c r="AJ150" s="367" t="s">
        <v>66</v>
      </c>
      <c r="AK150" s="381" t="s">
        <v>67</v>
      </c>
      <c r="AL150" s="371"/>
    </row>
    <row r="151" spans="2:38" s="47" customFormat="1" ht="12.75" customHeight="1">
      <c r="B151" s="379"/>
      <c r="C151" s="386"/>
      <c r="D151" s="388"/>
      <c r="E151" s="389"/>
      <c r="F151" s="386"/>
      <c r="G151" s="388"/>
      <c r="H151" s="389"/>
      <c r="I151" s="386"/>
      <c r="J151" s="388"/>
      <c r="K151" s="389"/>
      <c r="L151" s="386"/>
      <c r="M151" s="388"/>
      <c r="N151" s="389"/>
      <c r="O151" s="386"/>
      <c r="P151" s="388"/>
      <c r="Q151" s="389"/>
      <c r="R151" s="386"/>
      <c r="S151" s="388"/>
      <c r="T151" s="389"/>
      <c r="U151" s="386"/>
      <c r="V151" s="388"/>
      <c r="W151" s="389"/>
      <c r="X151" s="386"/>
      <c r="Y151" s="388"/>
      <c r="Z151" s="389"/>
      <c r="AA151" s="386"/>
      <c r="AB151" s="388"/>
      <c r="AC151" s="389"/>
      <c r="AD151" s="386"/>
      <c r="AE151" s="388"/>
      <c r="AF151" s="389"/>
      <c r="AG151" s="386"/>
      <c r="AH151" s="388"/>
      <c r="AI151" s="389"/>
      <c r="AJ151" s="386"/>
      <c r="AK151" s="388"/>
      <c r="AL151" s="389"/>
    </row>
    <row r="152" spans="2:38" s="47" customFormat="1" ht="26.25" thickBot="1">
      <c r="B152" s="380"/>
      <c r="C152" s="74" t="s">
        <v>68</v>
      </c>
      <c r="D152" s="94" t="s">
        <v>69</v>
      </c>
      <c r="E152" s="64" t="s">
        <v>70</v>
      </c>
      <c r="F152" s="74" t="s">
        <v>68</v>
      </c>
      <c r="G152" s="94" t="s">
        <v>69</v>
      </c>
      <c r="H152" s="64" t="s">
        <v>70</v>
      </c>
      <c r="I152" s="74" t="s">
        <v>68</v>
      </c>
      <c r="J152" s="94" t="s">
        <v>69</v>
      </c>
      <c r="K152" s="64" t="s">
        <v>70</v>
      </c>
      <c r="L152" s="74" t="s">
        <v>68</v>
      </c>
      <c r="M152" s="94" t="s">
        <v>69</v>
      </c>
      <c r="N152" s="64" t="s">
        <v>70</v>
      </c>
      <c r="O152" s="74" t="s">
        <v>68</v>
      </c>
      <c r="P152" s="94" t="s">
        <v>69</v>
      </c>
      <c r="Q152" s="64" t="s">
        <v>70</v>
      </c>
      <c r="R152" s="74" t="s">
        <v>68</v>
      </c>
      <c r="S152" s="94" t="s">
        <v>69</v>
      </c>
      <c r="T152" s="64" t="s">
        <v>70</v>
      </c>
      <c r="U152" s="74" t="s">
        <v>68</v>
      </c>
      <c r="V152" s="94" t="s">
        <v>69</v>
      </c>
      <c r="W152" s="64" t="s">
        <v>70</v>
      </c>
      <c r="X152" s="74" t="s">
        <v>68</v>
      </c>
      <c r="Y152" s="94" t="s">
        <v>69</v>
      </c>
      <c r="Z152" s="64" t="s">
        <v>70</v>
      </c>
      <c r="AA152" s="74" t="s">
        <v>68</v>
      </c>
      <c r="AB152" s="94" t="s">
        <v>69</v>
      </c>
      <c r="AC152" s="64" t="s">
        <v>70</v>
      </c>
      <c r="AD152" s="74" t="s">
        <v>68</v>
      </c>
      <c r="AE152" s="94" t="s">
        <v>69</v>
      </c>
      <c r="AF152" s="64" t="s">
        <v>70</v>
      </c>
      <c r="AG152" s="74" t="s">
        <v>68</v>
      </c>
      <c r="AH152" s="94" t="s">
        <v>69</v>
      </c>
      <c r="AI152" s="64" t="s">
        <v>70</v>
      </c>
      <c r="AJ152" s="74" t="s">
        <v>68</v>
      </c>
      <c r="AK152" s="94" t="s">
        <v>69</v>
      </c>
      <c r="AL152" s="64" t="s">
        <v>70</v>
      </c>
    </row>
    <row r="153" spans="2:38" s="47" customFormat="1" ht="15" customHeight="1">
      <c r="B153" s="152" t="s">
        <v>160</v>
      </c>
      <c r="C153" s="177">
        <v>0</v>
      </c>
      <c r="D153" s="104">
        <v>0</v>
      </c>
      <c r="E153" s="105">
        <v>1</v>
      </c>
      <c r="F153" s="177">
        <v>0</v>
      </c>
      <c r="G153" s="104">
        <v>0</v>
      </c>
      <c r="H153" s="105">
        <v>0</v>
      </c>
      <c r="I153" s="177">
        <v>0</v>
      </c>
      <c r="J153" s="104">
        <v>0</v>
      </c>
      <c r="K153" s="105">
        <v>2</v>
      </c>
      <c r="L153" s="177">
        <v>0</v>
      </c>
      <c r="M153" s="104">
        <v>0</v>
      </c>
      <c r="N153" s="105">
        <v>0</v>
      </c>
      <c r="O153" s="177">
        <v>0</v>
      </c>
      <c r="P153" s="104">
        <v>0</v>
      </c>
      <c r="Q153" s="105">
        <v>0</v>
      </c>
      <c r="R153" s="177">
        <v>0</v>
      </c>
      <c r="S153" s="104">
        <v>0</v>
      </c>
      <c r="T153" s="105">
        <v>0</v>
      </c>
      <c r="U153" s="177">
        <v>0</v>
      </c>
      <c r="V153" s="104">
        <v>0</v>
      </c>
      <c r="W153" s="105">
        <v>0</v>
      </c>
      <c r="X153" s="177">
        <v>0</v>
      </c>
      <c r="Y153" s="104">
        <v>0</v>
      </c>
      <c r="Z153" s="105">
        <v>0</v>
      </c>
      <c r="AA153" s="177">
        <v>0</v>
      </c>
      <c r="AB153" s="104">
        <v>0</v>
      </c>
      <c r="AC153" s="105">
        <v>0</v>
      </c>
      <c r="AD153" s="177">
        <v>0</v>
      </c>
      <c r="AE153" s="104">
        <v>0</v>
      </c>
      <c r="AF153" s="105">
        <v>0</v>
      </c>
      <c r="AG153" s="177">
        <v>0</v>
      </c>
      <c r="AH153" s="65">
        <v>0</v>
      </c>
      <c r="AI153" s="77">
        <v>0</v>
      </c>
      <c r="AJ153" s="76">
        <v>0</v>
      </c>
      <c r="AK153" s="65">
        <v>0</v>
      </c>
      <c r="AL153" s="77">
        <v>0</v>
      </c>
    </row>
    <row r="154" spans="2:38" s="47" customFormat="1" ht="15" customHeight="1">
      <c r="B154" s="155" t="s">
        <v>161</v>
      </c>
      <c r="C154" s="196">
        <v>1</v>
      </c>
      <c r="D154" s="182">
        <v>1</v>
      </c>
      <c r="E154" s="183">
        <v>80</v>
      </c>
      <c r="F154" s="196">
        <v>0</v>
      </c>
      <c r="G154" s="182">
        <v>2</v>
      </c>
      <c r="H154" s="183">
        <v>82</v>
      </c>
      <c r="I154" s="196">
        <v>0</v>
      </c>
      <c r="J154" s="182">
        <v>0</v>
      </c>
      <c r="K154" s="183">
        <v>59</v>
      </c>
      <c r="L154" s="196">
        <v>0</v>
      </c>
      <c r="M154" s="182">
        <v>0</v>
      </c>
      <c r="N154" s="183">
        <v>0</v>
      </c>
      <c r="O154" s="196">
        <v>0</v>
      </c>
      <c r="P154" s="182">
        <v>0</v>
      </c>
      <c r="Q154" s="183">
        <v>0</v>
      </c>
      <c r="R154" s="196">
        <v>0</v>
      </c>
      <c r="S154" s="182">
        <v>0</v>
      </c>
      <c r="T154" s="183">
        <v>0</v>
      </c>
      <c r="U154" s="196">
        <v>0</v>
      </c>
      <c r="V154" s="182">
        <v>0</v>
      </c>
      <c r="W154" s="183">
        <v>0</v>
      </c>
      <c r="X154" s="196">
        <v>0</v>
      </c>
      <c r="Y154" s="182">
        <v>0</v>
      </c>
      <c r="Z154" s="183">
        <v>0</v>
      </c>
      <c r="AA154" s="196">
        <v>0</v>
      </c>
      <c r="AB154" s="182">
        <v>0</v>
      </c>
      <c r="AC154" s="183">
        <v>0</v>
      </c>
      <c r="AD154" s="196">
        <v>0</v>
      </c>
      <c r="AE154" s="182">
        <v>0</v>
      </c>
      <c r="AF154" s="183">
        <v>0</v>
      </c>
      <c r="AG154" s="196">
        <v>0</v>
      </c>
      <c r="AH154" s="85">
        <v>0</v>
      </c>
      <c r="AI154" s="86">
        <v>0</v>
      </c>
      <c r="AJ154" s="95">
        <v>0</v>
      </c>
      <c r="AK154" s="85">
        <v>0</v>
      </c>
      <c r="AL154" s="86">
        <v>0</v>
      </c>
    </row>
    <row r="155" spans="2:38" s="47" customFormat="1" ht="15" customHeight="1">
      <c r="B155" s="153" t="s">
        <v>162</v>
      </c>
      <c r="C155" s="178">
        <v>0</v>
      </c>
      <c r="D155" s="107">
        <v>0</v>
      </c>
      <c r="E155" s="108">
        <v>9</v>
      </c>
      <c r="F155" s="178">
        <v>0</v>
      </c>
      <c r="G155" s="107">
        <v>0</v>
      </c>
      <c r="H155" s="108">
        <v>15</v>
      </c>
      <c r="I155" s="178">
        <v>0</v>
      </c>
      <c r="J155" s="107">
        <v>0</v>
      </c>
      <c r="K155" s="108">
        <v>9</v>
      </c>
      <c r="L155" s="178">
        <v>0</v>
      </c>
      <c r="M155" s="107">
        <v>0</v>
      </c>
      <c r="N155" s="108">
        <v>11</v>
      </c>
      <c r="O155" s="178">
        <v>1</v>
      </c>
      <c r="P155" s="107">
        <v>0</v>
      </c>
      <c r="Q155" s="108">
        <v>5</v>
      </c>
      <c r="R155" s="178">
        <v>0</v>
      </c>
      <c r="S155" s="107">
        <v>0</v>
      </c>
      <c r="T155" s="108">
        <v>4</v>
      </c>
      <c r="U155" s="178">
        <v>0</v>
      </c>
      <c r="V155" s="107">
        <v>0</v>
      </c>
      <c r="W155" s="108">
        <v>0</v>
      </c>
      <c r="X155" s="178">
        <v>0</v>
      </c>
      <c r="Y155" s="107">
        <v>0</v>
      </c>
      <c r="Z155" s="108">
        <v>1</v>
      </c>
      <c r="AA155" s="178">
        <v>0</v>
      </c>
      <c r="AB155" s="107">
        <v>0</v>
      </c>
      <c r="AC155" s="108">
        <v>4</v>
      </c>
      <c r="AD155" s="178">
        <v>0</v>
      </c>
      <c r="AE155" s="107">
        <v>0</v>
      </c>
      <c r="AF155" s="108">
        <v>7</v>
      </c>
      <c r="AG155" s="178">
        <v>0</v>
      </c>
      <c r="AH155" s="55">
        <v>0</v>
      </c>
      <c r="AI155" s="59">
        <v>8</v>
      </c>
      <c r="AJ155" s="58">
        <v>0</v>
      </c>
      <c r="AK155" s="55">
        <v>0</v>
      </c>
      <c r="AL155" s="59">
        <v>4</v>
      </c>
    </row>
    <row r="156" spans="2:38" s="47" customFormat="1" ht="15" customHeight="1">
      <c r="B156" s="153" t="s">
        <v>163</v>
      </c>
      <c r="C156" s="178">
        <v>0</v>
      </c>
      <c r="D156" s="107">
        <v>0</v>
      </c>
      <c r="E156" s="108">
        <v>15</v>
      </c>
      <c r="F156" s="178">
        <v>0</v>
      </c>
      <c r="G156" s="107">
        <v>0</v>
      </c>
      <c r="H156" s="108">
        <v>9</v>
      </c>
      <c r="I156" s="178">
        <v>0</v>
      </c>
      <c r="J156" s="107">
        <v>0</v>
      </c>
      <c r="K156" s="108">
        <v>2</v>
      </c>
      <c r="L156" s="178">
        <v>0</v>
      </c>
      <c r="M156" s="107">
        <v>0</v>
      </c>
      <c r="N156" s="108">
        <v>0</v>
      </c>
      <c r="O156" s="178">
        <v>0</v>
      </c>
      <c r="P156" s="107">
        <v>0</v>
      </c>
      <c r="Q156" s="108">
        <v>0</v>
      </c>
      <c r="R156" s="178">
        <v>0</v>
      </c>
      <c r="S156" s="107">
        <v>0</v>
      </c>
      <c r="T156" s="108">
        <v>0</v>
      </c>
      <c r="U156" s="178">
        <v>0</v>
      </c>
      <c r="V156" s="107">
        <v>0</v>
      </c>
      <c r="W156" s="108">
        <v>0</v>
      </c>
      <c r="X156" s="178">
        <v>1</v>
      </c>
      <c r="Y156" s="107">
        <v>0</v>
      </c>
      <c r="Z156" s="108">
        <v>0</v>
      </c>
      <c r="AA156" s="178">
        <v>0</v>
      </c>
      <c r="AB156" s="107">
        <v>0</v>
      </c>
      <c r="AC156" s="108">
        <v>0</v>
      </c>
      <c r="AD156" s="178">
        <v>1</v>
      </c>
      <c r="AE156" s="107">
        <v>0</v>
      </c>
      <c r="AF156" s="108">
        <v>0</v>
      </c>
      <c r="AG156" s="178">
        <v>0</v>
      </c>
      <c r="AH156" s="55">
        <v>0</v>
      </c>
      <c r="AI156" s="59">
        <v>0</v>
      </c>
      <c r="AJ156" s="58">
        <v>0</v>
      </c>
      <c r="AK156" s="55">
        <v>0</v>
      </c>
      <c r="AL156" s="59">
        <v>0</v>
      </c>
    </row>
    <row r="157" spans="2:38" s="47" customFormat="1" ht="15" customHeight="1">
      <c r="B157" s="153" t="s">
        <v>444</v>
      </c>
      <c r="C157" s="178">
        <v>0</v>
      </c>
      <c r="D157" s="107">
        <v>0</v>
      </c>
      <c r="E157" s="108">
        <v>0</v>
      </c>
      <c r="F157" s="178">
        <v>0</v>
      </c>
      <c r="G157" s="107">
        <v>0</v>
      </c>
      <c r="H157" s="108">
        <v>0</v>
      </c>
      <c r="I157" s="178">
        <v>0</v>
      </c>
      <c r="J157" s="107">
        <v>0</v>
      </c>
      <c r="K157" s="108">
        <v>0</v>
      </c>
      <c r="L157" s="178">
        <v>0</v>
      </c>
      <c r="M157" s="107">
        <v>0</v>
      </c>
      <c r="N157" s="108">
        <v>0</v>
      </c>
      <c r="O157" s="178">
        <v>0</v>
      </c>
      <c r="P157" s="107">
        <v>0</v>
      </c>
      <c r="Q157" s="108">
        <v>0</v>
      </c>
      <c r="R157" s="178">
        <v>0</v>
      </c>
      <c r="S157" s="107">
        <v>0</v>
      </c>
      <c r="T157" s="108">
        <v>0</v>
      </c>
      <c r="U157" s="178">
        <v>0</v>
      </c>
      <c r="V157" s="107">
        <v>0</v>
      </c>
      <c r="W157" s="108">
        <v>0</v>
      </c>
      <c r="X157" s="178">
        <v>0</v>
      </c>
      <c r="Y157" s="107">
        <v>0</v>
      </c>
      <c r="Z157" s="108">
        <v>0</v>
      </c>
      <c r="AA157" s="178">
        <v>0</v>
      </c>
      <c r="AB157" s="107">
        <v>0</v>
      </c>
      <c r="AC157" s="108">
        <v>0</v>
      </c>
      <c r="AD157" s="178">
        <v>0</v>
      </c>
      <c r="AE157" s="107">
        <v>0</v>
      </c>
      <c r="AF157" s="108">
        <v>0</v>
      </c>
      <c r="AG157" s="178">
        <v>0</v>
      </c>
      <c r="AH157" s="55">
        <v>0</v>
      </c>
      <c r="AI157" s="59">
        <v>0</v>
      </c>
      <c r="AJ157" s="58">
        <v>0</v>
      </c>
      <c r="AK157" s="55">
        <v>0</v>
      </c>
      <c r="AL157" s="59">
        <v>0</v>
      </c>
    </row>
    <row r="158" spans="2:38" s="47" customFormat="1" ht="15" customHeight="1">
      <c r="B158" s="153" t="s">
        <v>164</v>
      </c>
      <c r="C158" s="178">
        <v>0</v>
      </c>
      <c r="D158" s="107">
        <v>0</v>
      </c>
      <c r="E158" s="108">
        <v>0</v>
      </c>
      <c r="F158" s="178">
        <v>0</v>
      </c>
      <c r="G158" s="107">
        <v>0</v>
      </c>
      <c r="H158" s="108">
        <v>2</v>
      </c>
      <c r="I158" s="178">
        <v>0</v>
      </c>
      <c r="J158" s="107">
        <v>0</v>
      </c>
      <c r="K158" s="108">
        <v>0</v>
      </c>
      <c r="L158" s="178">
        <v>0</v>
      </c>
      <c r="M158" s="107">
        <v>0</v>
      </c>
      <c r="N158" s="108">
        <v>0</v>
      </c>
      <c r="O158" s="178">
        <v>2</v>
      </c>
      <c r="P158" s="107">
        <v>0</v>
      </c>
      <c r="Q158" s="108">
        <v>0</v>
      </c>
      <c r="R158" s="178">
        <v>0</v>
      </c>
      <c r="S158" s="107">
        <v>0</v>
      </c>
      <c r="T158" s="108">
        <v>0</v>
      </c>
      <c r="U158" s="178">
        <v>1</v>
      </c>
      <c r="V158" s="107">
        <v>0</v>
      </c>
      <c r="W158" s="108">
        <v>0</v>
      </c>
      <c r="X158" s="178">
        <v>0</v>
      </c>
      <c r="Y158" s="107">
        <v>0</v>
      </c>
      <c r="Z158" s="108">
        <v>0</v>
      </c>
      <c r="AA158" s="178">
        <v>0</v>
      </c>
      <c r="AB158" s="107">
        <v>0</v>
      </c>
      <c r="AC158" s="108">
        <v>0</v>
      </c>
      <c r="AD158" s="178">
        <v>1</v>
      </c>
      <c r="AE158" s="107">
        <v>0</v>
      </c>
      <c r="AF158" s="108">
        <v>0</v>
      </c>
      <c r="AG158" s="178">
        <v>0</v>
      </c>
      <c r="AH158" s="55">
        <v>0</v>
      </c>
      <c r="AI158" s="59">
        <v>0</v>
      </c>
      <c r="AJ158" s="58">
        <v>0</v>
      </c>
      <c r="AK158" s="55">
        <v>0</v>
      </c>
      <c r="AL158" s="59">
        <v>0</v>
      </c>
    </row>
    <row r="159" spans="2:38" s="47" customFormat="1" ht="15" customHeight="1">
      <c r="B159" s="153" t="s">
        <v>165</v>
      </c>
      <c r="C159" s="178">
        <v>0</v>
      </c>
      <c r="D159" s="107">
        <v>0</v>
      </c>
      <c r="E159" s="108">
        <v>0</v>
      </c>
      <c r="F159" s="178">
        <v>0</v>
      </c>
      <c r="G159" s="107">
        <v>0</v>
      </c>
      <c r="H159" s="108">
        <v>0</v>
      </c>
      <c r="I159" s="178">
        <v>0</v>
      </c>
      <c r="J159" s="107">
        <v>0</v>
      </c>
      <c r="K159" s="108">
        <v>0</v>
      </c>
      <c r="L159" s="178">
        <v>0</v>
      </c>
      <c r="M159" s="107">
        <v>0</v>
      </c>
      <c r="N159" s="108">
        <v>0</v>
      </c>
      <c r="O159" s="178">
        <v>2</v>
      </c>
      <c r="P159" s="107">
        <v>0</v>
      </c>
      <c r="Q159" s="108">
        <v>0</v>
      </c>
      <c r="R159" s="178">
        <v>1</v>
      </c>
      <c r="S159" s="107">
        <v>0</v>
      </c>
      <c r="T159" s="108">
        <v>0</v>
      </c>
      <c r="U159" s="178">
        <v>1</v>
      </c>
      <c r="V159" s="107">
        <v>0</v>
      </c>
      <c r="W159" s="108">
        <v>0</v>
      </c>
      <c r="X159" s="178">
        <v>1</v>
      </c>
      <c r="Y159" s="107">
        <v>0</v>
      </c>
      <c r="Z159" s="108">
        <v>0</v>
      </c>
      <c r="AA159" s="178">
        <v>1</v>
      </c>
      <c r="AB159" s="107">
        <v>0</v>
      </c>
      <c r="AC159" s="108">
        <v>0</v>
      </c>
      <c r="AD159" s="178">
        <v>4</v>
      </c>
      <c r="AE159" s="107">
        <v>0</v>
      </c>
      <c r="AF159" s="108">
        <v>0</v>
      </c>
      <c r="AG159" s="178">
        <v>4</v>
      </c>
      <c r="AH159" s="55">
        <v>0</v>
      </c>
      <c r="AI159" s="59">
        <v>0</v>
      </c>
      <c r="AJ159" s="58">
        <v>3</v>
      </c>
      <c r="AK159" s="55">
        <v>0</v>
      </c>
      <c r="AL159" s="59">
        <v>0</v>
      </c>
    </row>
    <row r="160" spans="2:38" s="47" customFormat="1" ht="15" customHeight="1">
      <c r="B160" s="153" t="s">
        <v>166</v>
      </c>
      <c r="C160" s="178">
        <v>0</v>
      </c>
      <c r="D160" s="107">
        <v>0</v>
      </c>
      <c r="E160" s="108">
        <v>0</v>
      </c>
      <c r="F160" s="178">
        <v>0</v>
      </c>
      <c r="G160" s="107">
        <v>0</v>
      </c>
      <c r="H160" s="108">
        <v>0</v>
      </c>
      <c r="I160" s="178">
        <v>0</v>
      </c>
      <c r="J160" s="107">
        <v>0</v>
      </c>
      <c r="K160" s="108">
        <v>0</v>
      </c>
      <c r="L160" s="178">
        <v>0</v>
      </c>
      <c r="M160" s="107">
        <v>0</v>
      </c>
      <c r="N160" s="108">
        <v>0</v>
      </c>
      <c r="O160" s="178">
        <v>0</v>
      </c>
      <c r="P160" s="107">
        <v>0</v>
      </c>
      <c r="Q160" s="108">
        <v>0</v>
      </c>
      <c r="R160" s="178">
        <v>0</v>
      </c>
      <c r="S160" s="107">
        <v>0</v>
      </c>
      <c r="T160" s="108">
        <v>0</v>
      </c>
      <c r="U160" s="178">
        <v>0</v>
      </c>
      <c r="V160" s="107">
        <v>0</v>
      </c>
      <c r="W160" s="108">
        <v>0</v>
      </c>
      <c r="X160" s="178">
        <v>0</v>
      </c>
      <c r="Y160" s="107">
        <v>0</v>
      </c>
      <c r="Z160" s="108">
        <v>0</v>
      </c>
      <c r="AA160" s="178">
        <v>0</v>
      </c>
      <c r="AB160" s="107">
        <v>0</v>
      </c>
      <c r="AC160" s="108">
        <v>0</v>
      </c>
      <c r="AD160" s="178">
        <v>0</v>
      </c>
      <c r="AE160" s="107">
        <v>0</v>
      </c>
      <c r="AF160" s="108">
        <v>0</v>
      </c>
      <c r="AG160" s="178">
        <v>0</v>
      </c>
      <c r="AH160" s="55">
        <v>0</v>
      </c>
      <c r="AI160" s="59">
        <v>0</v>
      </c>
      <c r="AJ160" s="58">
        <v>0</v>
      </c>
      <c r="AK160" s="55">
        <v>0</v>
      </c>
      <c r="AL160" s="59">
        <v>0</v>
      </c>
    </row>
    <row r="161" spans="2:38" s="47" customFormat="1" ht="15" customHeight="1">
      <c r="B161" s="153" t="s">
        <v>167</v>
      </c>
      <c r="C161" s="178">
        <v>0</v>
      </c>
      <c r="D161" s="107">
        <v>0</v>
      </c>
      <c r="E161" s="108">
        <v>1</v>
      </c>
      <c r="F161" s="178">
        <v>0</v>
      </c>
      <c r="G161" s="107">
        <v>0</v>
      </c>
      <c r="H161" s="108">
        <v>0</v>
      </c>
      <c r="I161" s="178">
        <v>0</v>
      </c>
      <c r="J161" s="107">
        <v>0</v>
      </c>
      <c r="K161" s="108">
        <v>3</v>
      </c>
      <c r="L161" s="178">
        <v>1</v>
      </c>
      <c r="M161" s="107">
        <v>0</v>
      </c>
      <c r="N161" s="108">
        <v>0</v>
      </c>
      <c r="O161" s="178">
        <v>1</v>
      </c>
      <c r="P161" s="107">
        <v>1</v>
      </c>
      <c r="Q161" s="108">
        <v>14</v>
      </c>
      <c r="R161" s="178">
        <v>1</v>
      </c>
      <c r="S161" s="107">
        <v>0</v>
      </c>
      <c r="T161" s="108">
        <v>0</v>
      </c>
      <c r="U161" s="178">
        <v>2</v>
      </c>
      <c r="V161" s="107">
        <v>0</v>
      </c>
      <c r="W161" s="108">
        <v>0</v>
      </c>
      <c r="X161" s="178">
        <v>0</v>
      </c>
      <c r="Y161" s="107">
        <v>0</v>
      </c>
      <c r="Z161" s="108">
        <v>0</v>
      </c>
      <c r="AA161" s="178">
        <v>0</v>
      </c>
      <c r="AB161" s="107">
        <v>0</v>
      </c>
      <c r="AC161" s="108">
        <v>0</v>
      </c>
      <c r="AD161" s="178">
        <v>1</v>
      </c>
      <c r="AE161" s="107">
        <v>0</v>
      </c>
      <c r="AF161" s="108">
        <v>0</v>
      </c>
      <c r="AG161" s="178">
        <v>0</v>
      </c>
      <c r="AH161" s="55">
        <v>0</v>
      </c>
      <c r="AI161" s="59">
        <v>0</v>
      </c>
      <c r="AJ161" s="58">
        <v>0</v>
      </c>
      <c r="AK161" s="55">
        <v>0</v>
      </c>
      <c r="AL161" s="59">
        <v>0</v>
      </c>
    </row>
    <row r="162" spans="2:38" s="47" customFormat="1" ht="15" customHeight="1">
      <c r="B162" s="153" t="s">
        <v>168</v>
      </c>
      <c r="C162" s="178">
        <v>4</v>
      </c>
      <c r="D162" s="107">
        <v>0</v>
      </c>
      <c r="E162" s="108">
        <v>29</v>
      </c>
      <c r="F162" s="178">
        <v>1</v>
      </c>
      <c r="G162" s="107">
        <v>0</v>
      </c>
      <c r="H162" s="108">
        <v>36</v>
      </c>
      <c r="I162" s="178">
        <v>2</v>
      </c>
      <c r="J162" s="107">
        <v>2</v>
      </c>
      <c r="K162" s="108">
        <v>15</v>
      </c>
      <c r="L162" s="178">
        <v>0</v>
      </c>
      <c r="M162" s="107">
        <v>0</v>
      </c>
      <c r="N162" s="108">
        <v>0</v>
      </c>
      <c r="O162" s="178">
        <v>0</v>
      </c>
      <c r="P162" s="107">
        <v>0</v>
      </c>
      <c r="Q162" s="108">
        <v>0</v>
      </c>
      <c r="R162" s="178">
        <v>2</v>
      </c>
      <c r="S162" s="107">
        <v>0</v>
      </c>
      <c r="T162" s="108">
        <v>0</v>
      </c>
      <c r="U162" s="178">
        <v>1</v>
      </c>
      <c r="V162" s="107">
        <v>0</v>
      </c>
      <c r="W162" s="108">
        <v>0</v>
      </c>
      <c r="X162" s="178">
        <v>1</v>
      </c>
      <c r="Y162" s="107">
        <v>0</v>
      </c>
      <c r="Z162" s="108">
        <v>0</v>
      </c>
      <c r="AA162" s="178">
        <v>1</v>
      </c>
      <c r="AB162" s="107">
        <v>0</v>
      </c>
      <c r="AC162" s="108">
        <v>0</v>
      </c>
      <c r="AD162" s="178">
        <v>3</v>
      </c>
      <c r="AE162" s="107">
        <v>0</v>
      </c>
      <c r="AF162" s="108">
        <v>0</v>
      </c>
      <c r="AG162" s="178">
        <v>1</v>
      </c>
      <c r="AH162" s="55">
        <v>0</v>
      </c>
      <c r="AI162" s="59">
        <v>0</v>
      </c>
      <c r="AJ162" s="58">
        <v>0</v>
      </c>
      <c r="AK162" s="55">
        <v>0</v>
      </c>
      <c r="AL162" s="59">
        <v>0</v>
      </c>
    </row>
    <row r="163" spans="2:38" s="47" customFormat="1" ht="15" customHeight="1">
      <c r="B163" s="153" t="s">
        <v>169</v>
      </c>
      <c r="C163" s="178">
        <v>0</v>
      </c>
      <c r="D163" s="107">
        <v>0</v>
      </c>
      <c r="E163" s="108">
        <v>11</v>
      </c>
      <c r="F163" s="178">
        <v>1</v>
      </c>
      <c r="G163" s="107">
        <v>0</v>
      </c>
      <c r="H163" s="108">
        <v>17</v>
      </c>
      <c r="I163" s="178">
        <v>1</v>
      </c>
      <c r="J163" s="107">
        <v>0</v>
      </c>
      <c r="K163" s="108">
        <v>13</v>
      </c>
      <c r="L163" s="178">
        <v>0</v>
      </c>
      <c r="M163" s="107">
        <v>0</v>
      </c>
      <c r="N163" s="108">
        <v>7</v>
      </c>
      <c r="O163" s="178">
        <v>0</v>
      </c>
      <c r="P163" s="107">
        <v>0</v>
      </c>
      <c r="Q163" s="108">
        <v>2</v>
      </c>
      <c r="R163" s="178">
        <v>0</v>
      </c>
      <c r="S163" s="107">
        <v>0</v>
      </c>
      <c r="T163" s="108">
        <v>3</v>
      </c>
      <c r="U163" s="178">
        <v>0</v>
      </c>
      <c r="V163" s="107">
        <v>0</v>
      </c>
      <c r="W163" s="108">
        <v>15</v>
      </c>
      <c r="X163" s="178">
        <v>0</v>
      </c>
      <c r="Y163" s="107">
        <v>0</v>
      </c>
      <c r="Z163" s="108">
        <v>4</v>
      </c>
      <c r="AA163" s="178">
        <v>0</v>
      </c>
      <c r="AB163" s="107">
        <v>0</v>
      </c>
      <c r="AC163" s="108">
        <v>7</v>
      </c>
      <c r="AD163" s="178">
        <v>0</v>
      </c>
      <c r="AE163" s="107">
        <v>0</v>
      </c>
      <c r="AF163" s="108">
        <v>6</v>
      </c>
      <c r="AG163" s="178">
        <v>0</v>
      </c>
      <c r="AH163" s="55">
        <v>0</v>
      </c>
      <c r="AI163" s="59">
        <v>4</v>
      </c>
      <c r="AJ163" s="58">
        <v>1</v>
      </c>
      <c r="AK163" s="55">
        <v>0</v>
      </c>
      <c r="AL163" s="59">
        <v>0</v>
      </c>
    </row>
    <row r="164" spans="2:38" s="47" customFormat="1" ht="15" customHeight="1">
      <c r="B164" s="153" t="s">
        <v>170</v>
      </c>
      <c r="C164" s="178">
        <v>0</v>
      </c>
      <c r="D164" s="107">
        <v>0</v>
      </c>
      <c r="E164" s="108">
        <v>121</v>
      </c>
      <c r="F164" s="178">
        <v>3</v>
      </c>
      <c r="G164" s="107">
        <v>0</v>
      </c>
      <c r="H164" s="108">
        <v>146</v>
      </c>
      <c r="I164" s="178">
        <v>0</v>
      </c>
      <c r="J164" s="107">
        <v>0</v>
      </c>
      <c r="K164" s="108">
        <v>119</v>
      </c>
      <c r="L164" s="178">
        <v>3</v>
      </c>
      <c r="M164" s="107">
        <v>0</v>
      </c>
      <c r="N164" s="108">
        <v>115</v>
      </c>
      <c r="O164" s="178">
        <v>2</v>
      </c>
      <c r="P164" s="107">
        <v>0</v>
      </c>
      <c r="Q164" s="108">
        <v>93</v>
      </c>
      <c r="R164" s="178">
        <v>0</v>
      </c>
      <c r="S164" s="107">
        <v>0</v>
      </c>
      <c r="T164" s="108">
        <v>103</v>
      </c>
      <c r="U164" s="178">
        <v>0</v>
      </c>
      <c r="V164" s="107">
        <v>0</v>
      </c>
      <c r="W164" s="108">
        <v>85</v>
      </c>
      <c r="X164" s="178">
        <v>1</v>
      </c>
      <c r="Y164" s="107">
        <v>0</v>
      </c>
      <c r="Z164" s="108">
        <v>23</v>
      </c>
      <c r="AA164" s="178">
        <v>3</v>
      </c>
      <c r="AB164" s="107">
        <v>0</v>
      </c>
      <c r="AC164" s="108">
        <v>39</v>
      </c>
      <c r="AD164" s="178">
        <v>1</v>
      </c>
      <c r="AE164" s="107">
        <v>0</v>
      </c>
      <c r="AF164" s="108">
        <v>41</v>
      </c>
      <c r="AG164" s="178">
        <v>0</v>
      </c>
      <c r="AH164" s="55">
        <v>0</v>
      </c>
      <c r="AI164" s="59">
        <v>44</v>
      </c>
      <c r="AJ164" s="58">
        <v>0</v>
      </c>
      <c r="AK164" s="55">
        <v>0</v>
      </c>
      <c r="AL164" s="59">
        <v>35</v>
      </c>
    </row>
    <row r="165" spans="2:38" s="47" customFormat="1" ht="15" customHeight="1">
      <c r="B165" s="153" t="s">
        <v>171</v>
      </c>
      <c r="C165" s="178">
        <v>29</v>
      </c>
      <c r="D165" s="107">
        <v>14</v>
      </c>
      <c r="E165" s="108">
        <v>535</v>
      </c>
      <c r="F165" s="178">
        <v>3</v>
      </c>
      <c r="G165" s="107">
        <v>0</v>
      </c>
      <c r="H165" s="108">
        <v>27</v>
      </c>
      <c r="I165" s="178">
        <v>0</v>
      </c>
      <c r="J165" s="107">
        <v>0</v>
      </c>
      <c r="K165" s="108">
        <v>0</v>
      </c>
      <c r="L165" s="178">
        <v>24</v>
      </c>
      <c r="M165" s="107">
        <v>0</v>
      </c>
      <c r="N165" s="108">
        <v>0</v>
      </c>
      <c r="O165" s="178">
        <v>15</v>
      </c>
      <c r="P165" s="107">
        <v>12</v>
      </c>
      <c r="Q165" s="108">
        <v>582</v>
      </c>
      <c r="R165" s="178">
        <v>7</v>
      </c>
      <c r="S165" s="107">
        <v>0</v>
      </c>
      <c r="T165" s="108">
        <v>0</v>
      </c>
      <c r="U165" s="178">
        <v>11</v>
      </c>
      <c r="V165" s="107">
        <v>0</v>
      </c>
      <c r="W165" s="108">
        <v>0</v>
      </c>
      <c r="X165" s="178">
        <v>13</v>
      </c>
      <c r="Y165" s="107">
        <v>0</v>
      </c>
      <c r="Z165" s="108">
        <v>0</v>
      </c>
      <c r="AA165" s="178">
        <v>17</v>
      </c>
      <c r="AB165" s="107">
        <v>0</v>
      </c>
      <c r="AC165" s="108">
        <v>0</v>
      </c>
      <c r="AD165" s="178">
        <v>25</v>
      </c>
      <c r="AE165" s="107">
        <v>0</v>
      </c>
      <c r="AF165" s="108">
        <v>0</v>
      </c>
      <c r="AG165" s="178">
        <v>28</v>
      </c>
      <c r="AH165" s="55">
        <v>0</v>
      </c>
      <c r="AI165" s="59">
        <v>0</v>
      </c>
      <c r="AJ165" s="58">
        <v>18</v>
      </c>
      <c r="AK165" s="55">
        <v>0</v>
      </c>
      <c r="AL165" s="59">
        <v>0</v>
      </c>
    </row>
    <row r="166" spans="2:38" s="47" customFormat="1" ht="15" customHeight="1">
      <c r="B166" s="153" t="s">
        <v>172</v>
      </c>
      <c r="C166" s="178">
        <v>0</v>
      </c>
      <c r="D166" s="107">
        <v>0</v>
      </c>
      <c r="E166" s="108">
        <v>3</v>
      </c>
      <c r="F166" s="178">
        <v>1</v>
      </c>
      <c r="G166" s="107">
        <v>1</v>
      </c>
      <c r="H166" s="108">
        <v>0</v>
      </c>
      <c r="I166" s="178">
        <v>1</v>
      </c>
      <c r="J166" s="107">
        <v>0</v>
      </c>
      <c r="K166" s="108">
        <v>6</v>
      </c>
      <c r="L166" s="178">
        <v>0</v>
      </c>
      <c r="M166" s="107">
        <v>0</v>
      </c>
      <c r="N166" s="108">
        <v>6</v>
      </c>
      <c r="O166" s="178">
        <v>1</v>
      </c>
      <c r="P166" s="107">
        <v>0</v>
      </c>
      <c r="Q166" s="108">
        <v>0</v>
      </c>
      <c r="R166" s="178">
        <v>1</v>
      </c>
      <c r="S166" s="107">
        <v>0</v>
      </c>
      <c r="T166" s="108">
        <v>0</v>
      </c>
      <c r="U166" s="178">
        <v>0</v>
      </c>
      <c r="V166" s="107">
        <v>0</v>
      </c>
      <c r="W166" s="108">
        <v>0</v>
      </c>
      <c r="X166" s="178">
        <v>0</v>
      </c>
      <c r="Y166" s="107">
        <v>0</v>
      </c>
      <c r="Z166" s="108">
        <v>0</v>
      </c>
      <c r="AA166" s="178">
        <v>0</v>
      </c>
      <c r="AB166" s="107">
        <v>0</v>
      </c>
      <c r="AC166" s="108">
        <v>0</v>
      </c>
      <c r="AD166" s="178">
        <v>0</v>
      </c>
      <c r="AE166" s="107">
        <v>0</v>
      </c>
      <c r="AF166" s="108">
        <v>0</v>
      </c>
      <c r="AG166" s="178">
        <v>0</v>
      </c>
      <c r="AH166" s="55">
        <v>0</v>
      </c>
      <c r="AI166" s="59">
        <v>0</v>
      </c>
      <c r="AJ166" s="58">
        <v>0</v>
      </c>
      <c r="AK166" s="55">
        <v>0</v>
      </c>
      <c r="AL166" s="59">
        <v>0</v>
      </c>
    </row>
    <row r="167" spans="2:38" s="47" customFormat="1" ht="15" customHeight="1">
      <c r="B167" s="153" t="s">
        <v>173</v>
      </c>
      <c r="C167" s="178">
        <v>1</v>
      </c>
      <c r="D167" s="107">
        <v>1</v>
      </c>
      <c r="E167" s="108">
        <v>178</v>
      </c>
      <c r="F167" s="178">
        <v>1</v>
      </c>
      <c r="G167" s="107">
        <v>1</v>
      </c>
      <c r="H167" s="108">
        <v>114</v>
      </c>
      <c r="I167" s="178">
        <v>1</v>
      </c>
      <c r="J167" s="107">
        <v>0</v>
      </c>
      <c r="K167" s="108">
        <v>92</v>
      </c>
      <c r="L167" s="178">
        <v>1</v>
      </c>
      <c r="M167" s="107">
        <v>0</v>
      </c>
      <c r="N167" s="108">
        <v>0</v>
      </c>
      <c r="O167" s="178">
        <v>1</v>
      </c>
      <c r="P167" s="107">
        <v>0</v>
      </c>
      <c r="Q167" s="108">
        <v>0</v>
      </c>
      <c r="R167" s="178">
        <v>2</v>
      </c>
      <c r="S167" s="107">
        <v>0</v>
      </c>
      <c r="T167" s="108">
        <v>0</v>
      </c>
      <c r="U167" s="178">
        <v>1</v>
      </c>
      <c r="V167" s="107">
        <v>0</v>
      </c>
      <c r="W167" s="108">
        <v>0</v>
      </c>
      <c r="X167" s="178">
        <v>1</v>
      </c>
      <c r="Y167" s="107">
        <v>0</v>
      </c>
      <c r="Z167" s="108">
        <v>0</v>
      </c>
      <c r="AA167" s="178">
        <v>0</v>
      </c>
      <c r="AB167" s="107">
        <v>0</v>
      </c>
      <c r="AC167" s="108">
        <v>0</v>
      </c>
      <c r="AD167" s="178">
        <v>0</v>
      </c>
      <c r="AE167" s="107">
        <v>0</v>
      </c>
      <c r="AF167" s="108">
        <v>0</v>
      </c>
      <c r="AG167" s="178">
        <v>1</v>
      </c>
      <c r="AH167" s="55">
        <v>0</v>
      </c>
      <c r="AI167" s="59">
        <v>0</v>
      </c>
      <c r="AJ167" s="58">
        <v>3</v>
      </c>
      <c r="AK167" s="55">
        <v>0</v>
      </c>
      <c r="AL167" s="59">
        <v>0</v>
      </c>
    </row>
    <row r="168" spans="2:38" s="47" customFormat="1" ht="15" customHeight="1">
      <c r="B168" s="153" t="s">
        <v>174</v>
      </c>
      <c r="C168" s="178">
        <v>0</v>
      </c>
      <c r="D168" s="107">
        <v>0</v>
      </c>
      <c r="E168" s="108">
        <v>39</v>
      </c>
      <c r="F168" s="178">
        <v>0</v>
      </c>
      <c r="G168" s="107">
        <v>0</v>
      </c>
      <c r="H168" s="108">
        <v>23</v>
      </c>
      <c r="I168" s="178">
        <v>0</v>
      </c>
      <c r="J168" s="107">
        <v>0</v>
      </c>
      <c r="K168" s="108">
        <v>20</v>
      </c>
      <c r="L168" s="178">
        <v>0</v>
      </c>
      <c r="M168" s="107">
        <v>0</v>
      </c>
      <c r="N168" s="108">
        <v>0</v>
      </c>
      <c r="O168" s="178">
        <v>0</v>
      </c>
      <c r="P168" s="107">
        <v>0</v>
      </c>
      <c r="Q168" s="108">
        <v>0</v>
      </c>
      <c r="R168" s="178">
        <v>1</v>
      </c>
      <c r="S168" s="107">
        <v>0</v>
      </c>
      <c r="T168" s="108">
        <v>0</v>
      </c>
      <c r="U168" s="178">
        <v>0</v>
      </c>
      <c r="V168" s="107">
        <v>0</v>
      </c>
      <c r="W168" s="108">
        <v>0</v>
      </c>
      <c r="X168" s="178">
        <v>0</v>
      </c>
      <c r="Y168" s="107">
        <v>0</v>
      </c>
      <c r="Z168" s="108">
        <v>0</v>
      </c>
      <c r="AA168" s="178">
        <v>3</v>
      </c>
      <c r="AB168" s="107">
        <v>0</v>
      </c>
      <c r="AC168" s="108">
        <v>0</v>
      </c>
      <c r="AD168" s="178">
        <v>0</v>
      </c>
      <c r="AE168" s="107">
        <v>0</v>
      </c>
      <c r="AF168" s="108">
        <v>0</v>
      </c>
      <c r="AG168" s="178">
        <v>0</v>
      </c>
      <c r="AH168" s="55">
        <v>0</v>
      </c>
      <c r="AI168" s="59">
        <v>0</v>
      </c>
      <c r="AJ168" s="58">
        <v>0</v>
      </c>
      <c r="AK168" s="55">
        <v>0</v>
      </c>
      <c r="AL168" s="59">
        <v>0</v>
      </c>
    </row>
    <row r="169" spans="2:38" s="47" customFormat="1" ht="15" customHeight="1">
      <c r="B169" s="153" t="s">
        <v>175</v>
      </c>
      <c r="C169" s="178">
        <v>0</v>
      </c>
      <c r="D169" s="107">
        <v>0</v>
      </c>
      <c r="E169" s="108">
        <v>6</v>
      </c>
      <c r="F169" s="178">
        <v>0</v>
      </c>
      <c r="G169" s="107">
        <v>0</v>
      </c>
      <c r="H169" s="108">
        <v>18</v>
      </c>
      <c r="I169" s="178">
        <v>0</v>
      </c>
      <c r="J169" s="107">
        <v>0</v>
      </c>
      <c r="K169" s="108">
        <v>19</v>
      </c>
      <c r="L169" s="178">
        <v>0</v>
      </c>
      <c r="M169" s="107">
        <v>0</v>
      </c>
      <c r="N169" s="108">
        <v>0</v>
      </c>
      <c r="O169" s="178">
        <v>0</v>
      </c>
      <c r="P169" s="107">
        <v>0</v>
      </c>
      <c r="Q169" s="108">
        <v>0</v>
      </c>
      <c r="R169" s="178">
        <v>0</v>
      </c>
      <c r="S169" s="107">
        <v>0</v>
      </c>
      <c r="T169" s="108">
        <v>0</v>
      </c>
      <c r="U169" s="178">
        <v>1</v>
      </c>
      <c r="V169" s="107">
        <v>0</v>
      </c>
      <c r="W169" s="108">
        <v>0</v>
      </c>
      <c r="X169" s="178">
        <v>1</v>
      </c>
      <c r="Y169" s="107">
        <v>0</v>
      </c>
      <c r="Z169" s="108">
        <v>0</v>
      </c>
      <c r="AA169" s="178">
        <v>0</v>
      </c>
      <c r="AB169" s="107">
        <v>0</v>
      </c>
      <c r="AC169" s="108">
        <v>0</v>
      </c>
      <c r="AD169" s="178">
        <v>0</v>
      </c>
      <c r="AE169" s="107">
        <v>0</v>
      </c>
      <c r="AF169" s="108">
        <v>0</v>
      </c>
      <c r="AG169" s="178">
        <v>0</v>
      </c>
      <c r="AH169" s="55">
        <v>0</v>
      </c>
      <c r="AI169" s="59">
        <v>0</v>
      </c>
      <c r="AJ169" s="58">
        <v>0</v>
      </c>
      <c r="AK169" s="55">
        <v>0</v>
      </c>
      <c r="AL169" s="59">
        <v>0</v>
      </c>
    </row>
    <row r="170" spans="2:38" s="47" customFormat="1" ht="15" customHeight="1">
      <c r="B170" s="153" t="s">
        <v>176</v>
      </c>
      <c r="C170" s="178">
        <v>0</v>
      </c>
      <c r="D170" s="107">
        <v>0</v>
      </c>
      <c r="E170" s="108">
        <v>0</v>
      </c>
      <c r="F170" s="178">
        <v>0</v>
      </c>
      <c r="G170" s="107">
        <v>0</v>
      </c>
      <c r="H170" s="108">
        <v>0</v>
      </c>
      <c r="I170" s="178">
        <v>0</v>
      </c>
      <c r="J170" s="107">
        <v>0</v>
      </c>
      <c r="K170" s="108">
        <v>0</v>
      </c>
      <c r="L170" s="178">
        <v>0</v>
      </c>
      <c r="M170" s="107">
        <v>0</v>
      </c>
      <c r="N170" s="108">
        <v>0</v>
      </c>
      <c r="O170" s="178">
        <v>0</v>
      </c>
      <c r="P170" s="107">
        <v>0</v>
      </c>
      <c r="Q170" s="108">
        <v>0</v>
      </c>
      <c r="R170" s="178">
        <v>0</v>
      </c>
      <c r="S170" s="107">
        <v>0</v>
      </c>
      <c r="T170" s="108">
        <v>0</v>
      </c>
      <c r="U170" s="178">
        <v>0</v>
      </c>
      <c r="V170" s="107">
        <v>0</v>
      </c>
      <c r="W170" s="108">
        <v>0</v>
      </c>
      <c r="X170" s="178">
        <v>0</v>
      </c>
      <c r="Y170" s="107">
        <v>0</v>
      </c>
      <c r="Z170" s="108">
        <v>0</v>
      </c>
      <c r="AA170" s="178">
        <v>1</v>
      </c>
      <c r="AB170" s="107">
        <v>0</v>
      </c>
      <c r="AC170" s="108">
        <v>0</v>
      </c>
      <c r="AD170" s="178">
        <v>1</v>
      </c>
      <c r="AE170" s="107">
        <v>0</v>
      </c>
      <c r="AF170" s="108">
        <v>0</v>
      </c>
      <c r="AG170" s="178">
        <v>1</v>
      </c>
      <c r="AH170" s="55">
        <v>0</v>
      </c>
      <c r="AI170" s="59">
        <v>0</v>
      </c>
      <c r="AJ170" s="58">
        <v>1</v>
      </c>
      <c r="AK170" s="55">
        <v>0</v>
      </c>
      <c r="AL170" s="59">
        <v>0</v>
      </c>
    </row>
    <row r="171" spans="2:38" s="47" customFormat="1" ht="15" customHeight="1">
      <c r="B171" s="153" t="s">
        <v>177</v>
      </c>
      <c r="C171" s="178">
        <v>0</v>
      </c>
      <c r="D171" s="107">
        <v>0</v>
      </c>
      <c r="E171" s="108">
        <v>0</v>
      </c>
      <c r="F171" s="178">
        <v>0</v>
      </c>
      <c r="G171" s="107">
        <v>0</v>
      </c>
      <c r="H171" s="108">
        <v>0</v>
      </c>
      <c r="I171" s="178">
        <v>0</v>
      </c>
      <c r="J171" s="107">
        <v>0</v>
      </c>
      <c r="K171" s="108">
        <v>0</v>
      </c>
      <c r="L171" s="178">
        <v>0</v>
      </c>
      <c r="M171" s="107">
        <v>0</v>
      </c>
      <c r="N171" s="108">
        <v>0</v>
      </c>
      <c r="O171" s="178">
        <v>0</v>
      </c>
      <c r="P171" s="107">
        <v>0</v>
      </c>
      <c r="Q171" s="108">
        <v>0</v>
      </c>
      <c r="R171" s="178">
        <v>0</v>
      </c>
      <c r="S171" s="107">
        <v>0</v>
      </c>
      <c r="T171" s="108">
        <v>0</v>
      </c>
      <c r="U171" s="178">
        <v>1</v>
      </c>
      <c r="V171" s="107">
        <v>0</v>
      </c>
      <c r="W171" s="108">
        <v>0</v>
      </c>
      <c r="X171" s="178">
        <v>0</v>
      </c>
      <c r="Y171" s="107">
        <v>0</v>
      </c>
      <c r="Z171" s="108">
        <v>0</v>
      </c>
      <c r="AA171" s="178">
        <v>4</v>
      </c>
      <c r="AB171" s="107">
        <v>0</v>
      </c>
      <c r="AC171" s="108">
        <v>0</v>
      </c>
      <c r="AD171" s="178">
        <v>0</v>
      </c>
      <c r="AE171" s="107">
        <v>0</v>
      </c>
      <c r="AF171" s="108">
        <v>0</v>
      </c>
      <c r="AG171" s="178">
        <v>0</v>
      </c>
      <c r="AH171" s="55">
        <v>0</v>
      </c>
      <c r="AI171" s="59">
        <v>0</v>
      </c>
      <c r="AJ171" s="58">
        <v>0</v>
      </c>
      <c r="AK171" s="55">
        <v>0</v>
      </c>
      <c r="AL171" s="59">
        <v>0</v>
      </c>
    </row>
    <row r="172" spans="2:38" s="47" customFormat="1" ht="15" customHeight="1">
      <c r="B172" s="153" t="s">
        <v>178</v>
      </c>
      <c r="C172" s="178">
        <v>0</v>
      </c>
      <c r="D172" s="107">
        <v>0</v>
      </c>
      <c r="E172" s="108">
        <v>0</v>
      </c>
      <c r="F172" s="178">
        <v>0</v>
      </c>
      <c r="G172" s="107">
        <v>0</v>
      </c>
      <c r="H172" s="108">
        <v>0</v>
      </c>
      <c r="I172" s="178">
        <v>0</v>
      </c>
      <c r="J172" s="107">
        <v>0</v>
      </c>
      <c r="K172" s="108">
        <v>0</v>
      </c>
      <c r="L172" s="178">
        <v>0</v>
      </c>
      <c r="M172" s="107">
        <v>0</v>
      </c>
      <c r="N172" s="108">
        <v>0</v>
      </c>
      <c r="O172" s="178">
        <v>0</v>
      </c>
      <c r="P172" s="107">
        <v>0</v>
      </c>
      <c r="Q172" s="108">
        <v>0</v>
      </c>
      <c r="R172" s="178">
        <v>1</v>
      </c>
      <c r="S172" s="107">
        <v>0</v>
      </c>
      <c r="T172" s="108">
        <v>0</v>
      </c>
      <c r="U172" s="178">
        <v>1</v>
      </c>
      <c r="V172" s="107">
        <v>0</v>
      </c>
      <c r="W172" s="108">
        <v>0</v>
      </c>
      <c r="X172" s="178">
        <v>0</v>
      </c>
      <c r="Y172" s="107">
        <v>0</v>
      </c>
      <c r="Z172" s="108">
        <v>0</v>
      </c>
      <c r="AA172" s="178">
        <v>0</v>
      </c>
      <c r="AB172" s="107">
        <v>0</v>
      </c>
      <c r="AC172" s="108">
        <v>0</v>
      </c>
      <c r="AD172" s="178">
        <v>0</v>
      </c>
      <c r="AE172" s="107">
        <v>0</v>
      </c>
      <c r="AF172" s="108">
        <v>0</v>
      </c>
      <c r="AG172" s="178">
        <v>0</v>
      </c>
      <c r="AH172" s="55">
        <v>0</v>
      </c>
      <c r="AI172" s="59">
        <v>0</v>
      </c>
      <c r="AJ172" s="58">
        <v>0</v>
      </c>
      <c r="AK172" s="55">
        <v>0</v>
      </c>
      <c r="AL172" s="59">
        <v>0</v>
      </c>
    </row>
    <row r="173" spans="2:38" s="47" customFormat="1" ht="15" customHeight="1">
      <c r="B173" s="153" t="s">
        <v>179</v>
      </c>
      <c r="C173" s="178">
        <v>0</v>
      </c>
      <c r="D173" s="107">
        <v>0</v>
      </c>
      <c r="E173" s="108">
        <v>0</v>
      </c>
      <c r="F173" s="178">
        <v>0</v>
      </c>
      <c r="G173" s="107">
        <v>0</v>
      </c>
      <c r="H173" s="108">
        <v>0</v>
      </c>
      <c r="I173" s="178">
        <v>0</v>
      </c>
      <c r="J173" s="107">
        <v>0</v>
      </c>
      <c r="K173" s="108">
        <v>0</v>
      </c>
      <c r="L173" s="178">
        <v>0</v>
      </c>
      <c r="M173" s="107">
        <v>0</v>
      </c>
      <c r="N173" s="108">
        <v>0</v>
      </c>
      <c r="O173" s="178">
        <v>4</v>
      </c>
      <c r="P173" s="107">
        <v>0</v>
      </c>
      <c r="Q173" s="108">
        <v>0</v>
      </c>
      <c r="R173" s="178">
        <v>1</v>
      </c>
      <c r="S173" s="107">
        <v>0</v>
      </c>
      <c r="T173" s="108">
        <v>0</v>
      </c>
      <c r="U173" s="178">
        <v>4</v>
      </c>
      <c r="V173" s="107">
        <v>0</v>
      </c>
      <c r="W173" s="108">
        <v>0</v>
      </c>
      <c r="X173" s="178">
        <v>4</v>
      </c>
      <c r="Y173" s="107">
        <v>0</v>
      </c>
      <c r="Z173" s="108">
        <v>0</v>
      </c>
      <c r="AA173" s="178">
        <v>1</v>
      </c>
      <c r="AB173" s="107">
        <v>0</v>
      </c>
      <c r="AC173" s="108">
        <v>0</v>
      </c>
      <c r="AD173" s="178">
        <v>0</v>
      </c>
      <c r="AE173" s="107">
        <v>0</v>
      </c>
      <c r="AF173" s="108">
        <v>0</v>
      </c>
      <c r="AG173" s="178">
        <v>4</v>
      </c>
      <c r="AH173" s="55">
        <v>0</v>
      </c>
      <c r="AI173" s="59">
        <v>0</v>
      </c>
      <c r="AJ173" s="58">
        <v>5</v>
      </c>
      <c r="AK173" s="55">
        <v>0</v>
      </c>
      <c r="AL173" s="59">
        <v>0</v>
      </c>
    </row>
    <row r="174" spans="2:38" s="47" customFormat="1" ht="15" customHeight="1" thickBot="1">
      <c r="B174" s="154" t="s">
        <v>180</v>
      </c>
      <c r="C174" s="179">
        <v>0</v>
      </c>
      <c r="D174" s="180">
        <v>0</v>
      </c>
      <c r="E174" s="181">
        <v>6</v>
      </c>
      <c r="F174" s="179">
        <v>2</v>
      </c>
      <c r="G174" s="180">
        <v>2</v>
      </c>
      <c r="H174" s="181">
        <v>15</v>
      </c>
      <c r="I174" s="179">
        <v>1</v>
      </c>
      <c r="J174" s="180">
        <v>2</v>
      </c>
      <c r="K174" s="181">
        <v>3</v>
      </c>
      <c r="L174" s="179">
        <v>0</v>
      </c>
      <c r="M174" s="180">
        <v>0</v>
      </c>
      <c r="N174" s="181">
        <v>0</v>
      </c>
      <c r="O174" s="179">
        <v>0</v>
      </c>
      <c r="P174" s="180">
        <v>0</v>
      </c>
      <c r="Q174" s="181">
        <v>0</v>
      </c>
      <c r="R174" s="179">
        <v>0</v>
      </c>
      <c r="S174" s="180">
        <v>0</v>
      </c>
      <c r="T174" s="181">
        <v>0</v>
      </c>
      <c r="U174" s="179">
        <v>0</v>
      </c>
      <c r="V174" s="180">
        <v>0</v>
      </c>
      <c r="W174" s="181">
        <v>0</v>
      </c>
      <c r="X174" s="179">
        <v>1</v>
      </c>
      <c r="Y174" s="180">
        <v>0</v>
      </c>
      <c r="Z174" s="181">
        <v>0</v>
      </c>
      <c r="AA174" s="179">
        <v>0</v>
      </c>
      <c r="AB174" s="180">
        <v>0</v>
      </c>
      <c r="AC174" s="181">
        <v>0</v>
      </c>
      <c r="AD174" s="179">
        <v>0</v>
      </c>
      <c r="AE174" s="180">
        <v>0</v>
      </c>
      <c r="AF174" s="181">
        <v>0</v>
      </c>
      <c r="AG174" s="179">
        <v>3</v>
      </c>
      <c r="AH174" s="70">
        <v>0</v>
      </c>
      <c r="AI174" s="82">
        <v>0</v>
      </c>
      <c r="AJ174" s="81">
        <v>0</v>
      </c>
      <c r="AK174" s="70">
        <v>0</v>
      </c>
      <c r="AL174" s="82">
        <v>0</v>
      </c>
    </row>
    <row r="175" spans="2:38" s="47" customFormat="1" ht="13.5" thickBot="1">
      <c r="B175" s="83" t="s">
        <v>0</v>
      </c>
      <c r="C175" s="44">
        <f aca="true" t="shared" si="27" ref="C175:AL175">SUM(C153:C174)</f>
        <v>35</v>
      </c>
      <c r="D175" s="51">
        <f t="shared" si="27"/>
        <v>16</v>
      </c>
      <c r="E175" s="52">
        <f t="shared" si="27"/>
        <v>1034</v>
      </c>
      <c r="F175" s="109">
        <f t="shared" si="27"/>
        <v>12</v>
      </c>
      <c r="G175" s="51">
        <f t="shared" si="27"/>
        <v>6</v>
      </c>
      <c r="H175" s="93">
        <f t="shared" si="27"/>
        <v>504</v>
      </c>
      <c r="I175" s="245">
        <f t="shared" si="27"/>
        <v>6</v>
      </c>
      <c r="J175" s="51">
        <f t="shared" si="27"/>
        <v>4</v>
      </c>
      <c r="K175" s="93">
        <f t="shared" si="27"/>
        <v>362</v>
      </c>
      <c r="L175" s="245">
        <f t="shared" si="27"/>
        <v>29</v>
      </c>
      <c r="M175" s="51">
        <f t="shared" si="27"/>
        <v>0</v>
      </c>
      <c r="N175" s="93">
        <f t="shared" si="27"/>
        <v>139</v>
      </c>
      <c r="O175" s="245">
        <f t="shared" si="27"/>
        <v>29</v>
      </c>
      <c r="P175" s="51">
        <f t="shared" si="27"/>
        <v>13</v>
      </c>
      <c r="Q175" s="93">
        <f t="shared" si="27"/>
        <v>696</v>
      </c>
      <c r="R175" s="245">
        <f t="shared" si="27"/>
        <v>17</v>
      </c>
      <c r="S175" s="51">
        <f t="shared" si="27"/>
        <v>0</v>
      </c>
      <c r="T175" s="93">
        <f t="shared" si="27"/>
        <v>110</v>
      </c>
      <c r="U175" s="245">
        <f t="shared" si="27"/>
        <v>24</v>
      </c>
      <c r="V175" s="51">
        <f t="shared" si="27"/>
        <v>0</v>
      </c>
      <c r="W175" s="93">
        <f t="shared" si="27"/>
        <v>100</v>
      </c>
      <c r="X175" s="245">
        <f t="shared" si="27"/>
        <v>24</v>
      </c>
      <c r="Y175" s="51">
        <f t="shared" si="27"/>
        <v>0</v>
      </c>
      <c r="Z175" s="93">
        <f t="shared" si="27"/>
        <v>28</v>
      </c>
      <c r="AA175" s="245">
        <f t="shared" si="27"/>
        <v>31</v>
      </c>
      <c r="AB175" s="51">
        <f t="shared" si="27"/>
        <v>0</v>
      </c>
      <c r="AC175" s="93">
        <f t="shared" si="27"/>
        <v>50</v>
      </c>
      <c r="AD175" s="245">
        <f t="shared" si="27"/>
        <v>37</v>
      </c>
      <c r="AE175" s="51">
        <f t="shared" si="27"/>
        <v>0</v>
      </c>
      <c r="AF175" s="93">
        <f t="shared" si="27"/>
        <v>54</v>
      </c>
      <c r="AG175" s="245">
        <f t="shared" si="27"/>
        <v>42</v>
      </c>
      <c r="AH175" s="51">
        <f t="shared" si="27"/>
        <v>0</v>
      </c>
      <c r="AI175" s="93">
        <f t="shared" si="27"/>
        <v>56</v>
      </c>
      <c r="AJ175" s="245">
        <f t="shared" si="27"/>
        <v>31</v>
      </c>
      <c r="AK175" s="51">
        <f t="shared" si="27"/>
        <v>0</v>
      </c>
      <c r="AL175" s="93">
        <f t="shared" si="27"/>
        <v>39</v>
      </c>
    </row>
    <row r="177" spans="2:5" s="47" customFormat="1" ht="12.75">
      <c r="B177" s="369"/>
      <c r="C177" s="369"/>
      <c r="D177" s="369"/>
      <c r="E177" s="369"/>
    </row>
    <row r="178" s="47" customFormat="1" ht="12.75"/>
    <row r="179" spans="2:5" s="47" customFormat="1" ht="12.75">
      <c r="B179" s="383" t="s">
        <v>12</v>
      </c>
      <c r="C179" s="383"/>
      <c r="D179" s="383"/>
      <c r="E179" s="383"/>
    </row>
    <row r="180" spans="2:5" s="47" customFormat="1" ht="12.75">
      <c r="B180" s="73"/>
      <c r="C180" s="73"/>
      <c r="D180" s="73"/>
      <c r="E180" s="73"/>
    </row>
    <row r="181" spans="2:5" s="47" customFormat="1" ht="12.75">
      <c r="B181" s="383" t="s">
        <v>41</v>
      </c>
      <c r="C181" s="383"/>
      <c r="D181" s="383"/>
      <c r="E181" s="383"/>
    </row>
    <row r="182" spans="2:5" s="47" customFormat="1" ht="12.75">
      <c r="B182" s="60"/>
      <c r="C182" s="60"/>
      <c r="D182" s="60"/>
      <c r="E182" s="60"/>
    </row>
    <row r="183" spans="2:5" s="47" customFormat="1" ht="12.75">
      <c r="B183" s="383" t="s">
        <v>86</v>
      </c>
      <c r="C183" s="383"/>
      <c r="D183" s="383"/>
      <c r="E183" s="383"/>
    </row>
    <row r="184" spans="2:5" s="47" customFormat="1" ht="12.75">
      <c r="B184" s="60"/>
      <c r="C184" s="60"/>
      <c r="D184" s="60"/>
      <c r="E184" s="60"/>
    </row>
    <row r="185" spans="2:5" s="47" customFormat="1" ht="12.75">
      <c r="B185" s="383">
        <v>2016</v>
      </c>
      <c r="C185" s="383"/>
      <c r="D185" s="383"/>
      <c r="E185" s="383"/>
    </row>
    <row r="186" spans="2:5" s="47" customFormat="1" ht="13.5" thickBot="1">
      <c r="B186" s="4"/>
      <c r="C186" s="4"/>
      <c r="D186" s="4"/>
      <c r="E186" s="4"/>
    </row>
    <row r="187" spans="2:38" s="47" customFormat="1" ht="13.5" customHeight="1" thickBot="1">
      <c r="B187" s="377" t="s">
        <v>395</v>
      </c>
      <c r="C187" s="374" t="s">
        <v>7</v>
      </c>
      <c r="D187" s="375"/>
      <c r="E187" s="376"/>
      <c r="F187" s="374" t="s">
        <v>433</v>
      </c>
      <c r="G187" s="375"/>
      <c r="H187" s="376"/>
      <c r="I187" s="374" t="s">
        <v>434</v>
      </c>
      <c r="J187" s="375"/>
      <c r="K187" s="376"/>
      <c r="L187" s="374" t="s">
        <v>435</v>
      </c>
      <c r="M187" s="375"/>
      <c r="N187" s="376"/>
      <c r="O187" s="374" t="s">
        <v>436</v>
      </c>
      <c r="P187" s="375"/>
      <c r="Q187" s="376"/>
      <c r="R187" s="374" t="s">
        <v>437</v>
      </c>
      <c r="S187" s="375"/>
      <c r="T187" s="376"/>
      <c r="U187" s="374" t="s">
        <v>438</v>
      </c>
      <c r="V187" s="375"/>
      <c r="W187" s="376"/>
      <c r="X187" s="374" t="s">
        <v>439</v>
      </c>
      <c r="Y187" s="375"/>
      <c r="Z187" s="376"/>
      <c r="AA187" s="374" t="s">
        <v>440</v>
      </c>
      <c r="AB187" s="375"/>
      <c r="AC187" s="376"/>
      <c r="AD187" s="374" t="s">
        <v>441</v>
      </c>
      <c r="AE187" s="375"/>
      <c r="AF187" s="376"/>
      <c r="AG187" s="374" t="s">
        <v>442</v>
      </c>
      <c r="AH187" s="375"/>
      <c r="AI187" s="376"/>
      <c r="AJ187" s="374" t="s">
        <v>443</v>
      </c>
      <c r="AK187" s="375"/>
      <c r="AL187" s="376"/>
    </row>
    <row r="188" spans="2:38" s="47" customFormat="1" ht="12.75" customHeight="1">
      <c r="B188" s="378"/>
      <c r="C188" s="367" t="s">
        <v>66</v>
      </c>
      <c r="D188" s="370" t="s">
        <v>67</v>
      </c>
      <c r="E188" s="371"/>
      <c r="F188" s="367" t="s">
        <v>66</v>
      </c>
      <c r="G188" s="370" t="s">
        <v>67</v>
      </c>
      <c r="H188" s="371"/>
      <c r="I188" s="367" t="s">
        <v>66</v>
      </c>
      <c r="J188" s="370" t="s">
        <v>67</v>
      </c>
      <c r="K188" s="371"/>
      <c r="L188" s="367" t="s">
        <v>66</v>
      </c>
      <c r="M188" s="370" t="s">
        <v>67</v>
      </c>
      <c r="N188" s="371"/>
      <c r="O188" s="367" t="s">
        <v>66</v>
      </c>
      <c r="P188" s="370" t="s">
        <v>67</v>
      </c>
      <c r="Q188" s="371"/>
      <c r="R188" s="367" t="s">
        <v>66</v>
      </c>
      <c r="S188" s="370" t="s">
        <v>67</v>
      </c>
      <c r="T188" s="371"/>
      <c r="U188" s="367" t="s">
        <v>66</v>
      </c>
      <c r="V188" s="370" t="s">
        <v>67</v>
      </c>
      <c r="W188" s="371"/>
      <c r="X188" s="367" t="s">
        <v>66</v>
      </c>
      <c r="Y188" s="370" t="s">
        <v>67</v>
      </c>
      <c r="Z188" s="371"/>
      <c r="AA188" s="367" t="s">
        <v>66</v>
      </c>
      <c r="AB188" s="370" t="s">
        <v>67</v>
      </c>
      <c r="AC188" s="371"/>
      <c r="AD188" s="367" t="s">
        <v>66</v>
      </c>
      <c r="AE188" s="370" t="s">
        <v>67</v>
      </c>
      <c r="AF188" s="371"/>
      <c r="AG188" s="367" t="s">
        <v>66</v>
      </c>
      <c r="AH188" s="370" t="s">
        <v>67</v>
      </c>
      <c r="AI188" s="371"/>
      <c r="AJ188" s="367" t="s">
        <v>66</v>
      </c>
      <c r="AK188" s="370" t="s">
        <v>67</v>
      </c>
      <c r="AL188" s="371"/>
    </row>
    <row r="189" spans="2:38" s="47" customFormat="1" ht="13.5" thickBot="1">
      <c r="B189" s="379" t="s">
        <v>395</v>
      </c>
      <c r="C189" s="368"/>
      <c r="D189" s="372"/>
      <c r="E189" s="373"/>
      <c r="F189" s="368"/>
      <c r="G189" s="372"/>
      <c r="H189" s="373"/>
      <c r="I189" s="368"/>
      <c r="J189" s="372"/>
      <c r="K189" s="373"/>
      <c r="L189" s="368"/>
      <c r="M189" s="372"/>
      <c r="N189" s="373"/>
      <c r="O189" s="368"/>
      <c r="P189" s="372"/>
      <c r="Q189" s="373"/>
      <c r="R189" s="368"/>
      <c r="S189" s="372"/>
      <c r="T189" s="373"/>
      <c r="U189" s="368"/>
      <c r="V189" s="372"/>
      <c r="W189" s="373"/>
      <c r="X189" s="368"/>
      <c r="Y189" s="372"/>
      <c r="Z189" s="373"/>
      <c r="AA189" s="368"/>
      <c r="AB189" s="372"/>
      <c r="AC189" s="373"/>
      <c r="AD189" s="368"/>
      <c r="AE189" s="372"/>
      <c r="AF189" s="373"/>
      <c r="AG189" s="368"/>
      <c r="AH189" s="372"/>
      <c r="AI189" s="373"/>
      <c r="AJ189" s="368"/>
      <c r="AK189" s="372"/>
      <c r="AL189" s="373"/>
    </row>
    <row r="190" spans="2:38" s="47" customFormat="1" ht="26.25" thickBot="1">
      <c r="B190" s="380"/>
      <c r="C190" s="96" t="s">
        <v>68</v>
      </c>
      <c r="D190" s="97" t="s">
        <v>69</v>
      </c>
      <c r="E190" s="98" t="s">
        <v>70</v>
      </c>
      <c r="F190" s="96" t="s">
        <v>68</v>
      </c>
      <c r="G190" s="97" t="s">
        <v>69</v>
      </c>
      <c r="H190" s="98" t="s">
        <v>70</v>
      </c>
      <c r="I190" s="96" t="s">
        <v>68</v>
      </c>
      <c r="J190" s="97" t="s">
        <v>69</v>
      </c>
      <c r="K190" s="98" t="s">
        <v>70</v>
      </c>
      <c r="L190" s="96" t="s">
        <v>68</v>
      </c>
      <c r="M190" s="97" t="s">
        <v>69</v>
      </c>
      <c r="N190" s="98" t="s">
        <v>70</v>
      </c>
      <c r="O190" s="96" t="s">
        <v>68</v>
      </c>
      <c r="P190" s="97" t="s">
        <v>69</v>
      </c>
      <c r="Q190" s="98" t="s">
        <v>70</v>
      </c>
      <c r="R190" s="96" t="s">
        <v>68</v>
      </c>
      <c r="S190" s="97" t="s">
        <v>69</v>
      </c>
      <c r="T190" s="98" t="s">
        <v>70</v>
      </c>
      <c r="U190" s="96" t="s">
        <v>68</v>
      </c>
      <c r="V190" s="97" t="s">
        <v>69</v>
      </c>
      <c r="W190" s="98" t="s">
        <v>70</v>
      </c>
      <c r="X190" s="96" t="s">
        <v>68</v>
      </c>
      <c r="Y190" s="97" t="s">
        <v>69</v>
      </c>
      <c r="Z190" s="98" t="s">
        <v>70</v>
      </c>
      <c r="AA190" s="96" t="s">
        <v>68</v>
      </c>
      <c r="AB190" s="97" t="s">
        <v>69</v>
      </c>
      <c r="AC190" s="98" t="s">
        <v>70</v>
      </c>
      <c r="AD190" s="96" t="s">
        <v>68</v>
      </c>
      <c r="AE190" s="97" t="s">
        <v>69</v>
      </c>
      <c r="AF190" s="98" t="s">
        <v>70</v>
      </c>
      <c r="AG190" s="96" t="s">
        <v>68</v>
      </c>
      <c r="AH190" s="97" t="s">
        <v>69</v>
      </c>
      <c r="AI190" s="98" t="s">
        <v>70</v>
      </c>
      <c r="AJ190" s="96" t="s">
        <v>68</v>
      </c>
      <c r="AK190" s="97" t="s">
        <v>69</v>
      </c>
      <c r="AL190" s="98" t="s">
        <v>70</v>
      </c>
    </row>
    <row r="191" spans="2:38" s="47" customFormat="1" ht="15" customHeight="1">
      <c r="B191" s="38" t="s">
        <v>181</v>
      </c>
      <c r="C191" s="76">
        <v>10</v>
      </c>
      <c r="D191" s="65">
        <v>4</v>
      </c>
      <c r="E191" s="77">
        <v>463</v>
      </c>
      <c r="F191" s="76">
        <v>12</v>
      </c>
      <c r="G191" s="65">
        <v>5</v>
      </c>
      <c r="H191" s="77">
        <v>239</v>
      </c>
      <c r="I191" s="76">
        <v>23</v>
      </c>
      <c r="J191" s="65">
        <v>16</v>
      </c>
      <c r="K191" s="77">
        <v>311</v>
      </c>
      <c r="L191" s="76">
        <v>12</v>
      </c>
      <c r="M191" s="65">
        <v>0</v>
      </c>
      <c r="N191" s="77">
        <v>232</v>
      </c>
      <c r="O191" s="76">
        <v>7</v>
      </c>
      <c r="P191" s="65">
        <v>0</v>
      </c>
      <c r="Q191" s="77">
        <v>313</v>
      </c>
      <c r="R191" s="76">
        <v>4</v>
      </c>
      <c r="S191" s="65">
        <v>0</v>
      </c>
      <c r="T191" s="77">
        <v>228</v>
      </c>
      <c r="U191" s="76">
        <v>6</v>
      </c>
      <c r="V191" s="65">
        <v>0</v>
      </c>
      <c r="W191" s="77">
        <v>168</v>
      </c>
      <c r="X191" s="76">
        <v>5</v>
      </c>
      <c r="Y191" s="65">
        <v>0</v>
      </c>
      <c r="Z191" s="77">
        <v>6</v>
      </c>
      <c r="AA191" s="76">
        <v>5</v>
      </c>
      <c r="AB191" s="65">
        <v>0</v>
      </c>
      <c r="AC191" s="77">
        <v>0</v>
      </c>
      <c r="AD191" s="76">
        <v>8</v>
      </c>
      <c r="AE191" s="65">
        <v>0</v>
      </c>
      <c r="AF191" s="77">
        <v>0</v>
      </c>
      <c r="AG191" s="76">
        <v>7</v>
      </c>
      <c r="AH191" s="65">
        <v>0</v>
      </c>
      <c r="AI191" s="77">
        <v>144</v>
      </c>
      <c r="AJ191" s="76">
        <v>7</v>
      </c>
      <c r="AK191" s="65">
        <v>0</v>
      </c>
      <c r="AL191" s="77">
        <v>111</v>
      </c>
    </row>
    <row r="192" spans="2:38" s="47" customFormat="1" ht="15" customHeight="1">
      <c r="B192" s="39" t="s">
        <v>182</v>
      </c>
      <c r="C192" s="58">
        <v>49</v>
      </c>
      <c r="D192" s="55">
        <v>0</v>
      </c>
      <c r="E192" s="59">
        <v>638</v>
      </c>
      <c r="F192" s="58">
        <v>30</v>
      </c>
      <c r="G192" s="55">
        <v>9</v>
      </c>
      <c r="H192" s="59">
        <v>365</v>
      </c>
      <c r="I192" s="58">
        <v>20</v>
      </c>
      <c r="J192" s="55">
        <v>0</v>
      </c>
      <c r="K192" s="59">
        <v>0</v>
      </c>
      <c r="L192" s="58">
        <v>32</v>
      </c>
      <c r="M192" s="55">
        <v>0</v>
      </c>
      <c r="N192" s="59">
        <v>0</v>
      </c>
      <c r="O192" s="58">
        <v>25</v>
      </c>
      <c r="P192" s="55">
        <v>0</v>
      </c>
      <c r="Q192" s="59">
        <v>0</v>
      </c>
      <c r="R192" s="58">
        <v>26</v>
      </c>
      <c r="S192" s="55">
        <v>0</v>
      </c>
      <c r="T192" s="59">
        <v>0</v>
      </c>
      <c r="U192" s="58">
        <v>24</v>
      </c>
      <c r="V192" s="55">
        <v>0</v>
      </c>
      <c r="W192" s="59">
        <v>0</v>
      </c>
      <c r="X192" s="58">
        <v>20</v>
      </c>
      <c r="Y192" s="55">
        <v>0</v>
      </c>
      <c r="Z192" s="59">
        <v>0</v>
      </c>
      <c r="AA192" s="58">
        <v>24</v>
      </c>
      <c r="AB192" s="55">
        <v>0</v>
      </c>
      <c r="AC192" s="59">
        <v>0</v>
      </c>
      <c r="AD192" s="58">
        <v>22</v>
      </c>
      <c r="AE192" s="55">
        <v>0</v>
      </c>
      <c r="AF192" s="59">
        <v>0</v>
      </c>
      <c r="AG192" s="58">
        <v>19</v>
      </c>
      <c r="AH192" s="55">
        <v>0</v>
      </c>
      <c r="AI192" s="59">
        <v>0</v>
      </c>
      <c r="AJ192" s="58">
        <v>13</v>
      </c>
      <c r="AK192" s="55">
        <v>0</v>
      </c>
      <c r="AL192" s="59">
        <v>0</v>
      </c>
    </row>
    <row r="193" spans="2:38" s="47" customFormat="1" ht="15" customHeight="1">
      <c r="B193" s="39" t="s">
        <v>183</v>
      </c>
      <c r="C193" s="58">
        <v>0</v>
      </c>
      <c r="D193" s="55">
        <v>0</v>
      </c>
      <c r="E193" s="59">
        <v>0</v>
      </c>
      <c r="F193" s="58">
        <v>0</v>
      </c>
      <c r="G193" s="55">
        <v>0</v>
      </c>
      <c r="H193" s="59">
        <v>0</v>
      </c>
      <c r="I193" s="58">
        <v>1</v>
      </c>
      <c r="J193" s="55">
        <v>0</v>
      </c>
      <c r="K193" s="59">
        <v>0</v>
      </c>
      <c r="L193" s="58">
        <v>37</v>
      </c>
      <c r="M193" s="55">
        <v>0</v>
      </c>
      <c r="N193" s="59">
        <v>0</v>
      </c>
      <c r="O193" s="58">
        <v>50</v>
      </c>
      <c r="P193" s="55">
        <v>0</v>
      </c>
      <c r="Q193" s="59">
        <v>0</v>
      </c>
      <c r="R193" s="58">
        <v>61</v>
      </c>
      <c r="S193" s="55">
        <v>0</v>
      </c>
      <c r="T193" s="59">
        <v>0</v>
      </c>
      <c r="U193" s="58">
        <v>41</v>
      </c>
      <c r="V193" s="55">
        <v>0</v>
      </c>
      <c r="W193" s="59">
        <v>0</v>
      </c>
      <c r="X193" s="58">
        <v>48</v>
      </c>
      <c r="Y193" s="55">
        <v>0</v>
      </c>
      <c r="Z193" s="59">
        <v>0</v>
      </c>
      <c r="AA193" s="58">
        <v>31</v>
      </c>
      <c r="AB193" s="55">
        <v>0</v>
      </c>
      <c r="AC193" s="59">
        <v>0</v>
      </c>
      <c r="AD193" s="58">
        <v>45</v>
      </c>
      <c r="AE193" s="55">
        <v>0</v>
      </c>
      <c r="AF193" s="59">
        <v>0</v>
      </c>
      <c r="AG193" s="58">
        <v>41</v>
      </c>
      <c r="AH193" s="55">
        <v>0</v>
      </c>
      <c r="AI193" s="59">
        <v>0</v>
      </c>
      <c r="AJ193" s="58">
        <v>30</v>
      </c>
      <c r="AK193" s="55">
        <v>0</v>
      </c>
      <c r="AL193" s="59">
        <v>0</v>
      </c>
    </row>
    <row r="194" spans="2:38" s="47" customFormat="1" ht="15" customHeight="1">
      <c r="B194" s="39" t="s">
        <v>184</v>
      </c>
      <c r="C194" s="58">
        <v>18</v>
      </c>
      <c r="D194" s="55">
        <v>5</v>
      </c>
      <c r="E194" s="59">
        <v>277</v>
      </c>
      <c r="F194" s="58">
        <v>13</v>
      </c>
      <c r="G194" s="55">
        <v>4</v>
      </c>
      <c r="H194" s="59">
        <v>103</v>
      </c>
      <c r="I194" s="58">
        <v>15</v>
      </c>
      <c r="J194" s="55">
        <v>0</v>
      </c>
      <c r="K194" s="59">
        <v>0</v>
      </c>
      <c r="L194" s="58">
        <v>5</v>
      </c>
      <c r="M194" s="55">
        <v>0</v>
      </c>
      <c r="N194" s="59">
        <v>0</v>
      </c>
      <c r="O194" s="58">
        <v>25</v>
      </c>
      <c r="P194" s="55">
        <v>0</v>
      </c>
      <c r="Q194" s="59">
        <v>0</v>
      </c>
      <c r="R194" s="58">
        <v>31</v>
      </c>
      <c r="S194" s="55">
        <v>0</v>
      </c>
      <c r="T194" s="59">
        <v>0</v>
      </c>
      <c r="U194" s="58">
        <v>28</v>
      </c>
      <c r="V194" s="55">
        <v>0</v>
      </c>
      <c r="W194" s="59">
        <v>0</v>
      </c>
      <c r="X194" s="58">
        <v>29</v>
      </c>
      <c r="Y194" s="55">
        <v>0</v>
      </c>
      <c r="Z194" s="59">
        <v>0</v>
      </c>
      <c r="AA194" s="58">
        <v>26</v>
      </c>
      <c r="AB194" s="55">
        <v>0</v>
      </c>
      <c r="AC194" s="59">
        <v>0</v>
      </c>
      <c r="AD194" s="58">
        <v>26</v>
      </c>
      <c r="AE194" s="55">
        <v>0</v>
      </c>
      <c r="AF194" s="59">
        <v>0</v>
      </c>
      <c r="AG194" s="58">
        <v>25</v>
      </c>
      <c r="AH194" s="55">
        <v>0</v>
      </c>
      <c r="AI194" s="59">
        <v>0</v>
      </c>
      <c r="AJ194" s="58">
        <v>17</v>
      </c>
      <c r="AK194" s="55">
        <v>0</v>
      </c>
      <c r="AL194" s="59">
        <v>0</v>
      </c>
    </row>
    <row r="195" spans="2:38" s="47" customFormat="1" ht="15" customHeight="1">
      <c r="B195" s="39" t="s">
        <v>186</v>
      </c>
      <c r="C195" s="58">
        <v>0</v>
      </c>
      <c r="D195" s="55">
        <v>0</v>
      </c>
      <c r="E195" s="59">
        <v>0</v>
      </c>
      <c r="F195" s="58">
        <v>0</v>
      </c>
      <c r="G195" s="55">
        <v>0</v>
      </c>
      <c r="H195" s="59">
        <v>0</v>
      </c>
      <c r="I195" s="58">
        <v>0</v>
      </c>
      <c r="J195" s="55">
        <v>0</v>
      </c>
      <c r="K195" s="59">
        <v>0</v>
      </c>
      <c r="L195" s="58">
        <v>18</v>
      </c>
      <c r="M195" s="55">
        <v>0</v>
      </c>
      <c r="N195" s="59">
        <v>0</v>
      </c>
      <c r="O195" s="58">
        <v>6</v>
      </c>
      <c r="P195" s="55">
        <v>0</v>
      </c>
      <c r="Q195" s="59">
        <v>0</v>
      </c>
      <c r="R195" s="58">
        <v>14</v>
      </c>
      <c r="S195" s="55">
        <v>0</v>
      </c>
      <c r="T195" s="59">
        <v>0</v>
      </c>
      <c r="U195" s="58">
        <v>14</v>
      </c>
      <c r="V195" s="55">
        <v>0</v>
      </c>
      <c r="W195" s="59">
        <v>0</v>
      </c>
      <c r="X195" s="58">
        <v>8</v>
      </c>
      <c r="Y195" s="55">
        <v>0</v>
      </c>
      <c r="Z195" s="59">
        <v>0</v>
      </c>
      <c r="AA195" s="58">
        <v>14</v>
      </c>
      <c r="AB195" s="55">
        <v>0</v>
      </c>
      <c r="AC195" s="59">
        <v>0</v>
      </c>
      <c r="AD195" s="58">
        <v>8</v>
      </c>
      <c r="AE195" s="55">
        <v>0</v>
      </c>
      <c r="AF195" s="59">
        <v>0</v>
      </c>
      <c r="AG195" s="58">
        <v>10</v>
      </c>
      <c r="AH195" s="55">
        <v>0</v>
      </c>
      <c r="AI195" s="59">
        <v>0</v>
      </c>
      <c r="AJ195" s="58">
        <v>6</v>
      </c>
      <c r="AK195" s="55">
        <v>0</v>
      </c>
      <c r="AL195" s="59">
        <v>0</v>
      </c>
    </row>
    <row r="196" spans="2:38" s="47" customFormat="1" ht="15" customHeight="1">
      <c r="B196" s="39" t="s">
        <v>187</v>
      </c>
      <c r="C196" s="58">
        <v>0</v>
      </c>
      <c r="D196" s="55">
        <v>0</v>
      </c>
      <c r="E196" s="59">
        <v>0</v>
      </c>
      <c r="F196" s="58">
        <v>0</v>
      </c>
      <c r="G196" s="55">
        <v>0</v>
      </c>
      <c r="H196" s="59">
        <v>0</v>
      </c>
      <c r="I196" s="58">
        <v>0</v>
      </c>
      <c r="J196" s="55">
        <v>0</v>
      </c>
      <c r="K196" s="59">
        <v>0</v>
      </c>
      <c r="L196" s="58">
        <v>14</v>
      </c>
      <c r="M196" s="55">
        <v>0</v>
      </c>
      <c r="N196" s="59">
        <v>0</v>
      </c>
      <c r="O196" s="58">
        <v>12</v>
      </c>
      <c r="P196" s="55">
        <v>0</v>
      </c>
      <c r="Q196" s="59">
        <v>0</v>
      </c>
      <c r="R196" s="58">
        <v>16</v>
      </c>
      <c r="S196" s="55">
        <v>0</v>
      </c>
      <c r="T196" s="59">
        <v>0</v>
      </c>
      <c r="U196" s="58">
        <v>8</v>
      </c>
      <c r="V196" s="55">
        <v>0</v>
      </c>
      <c r="W196" s="59">
        <v>0</v>
      </c>
      <c r="X196" s="58">
        <v>17</v>
      </c>
      <c r="Y196" s="55">
        <v>0</v>
      </c>
      <c r="Z196" s="59">
        <v>0</v>
      </c>
      <c r="AA196" s="58">
        <v>14</v>
      </c>
      <c r="AB196" s="55">
        <v>0</v>
      </c>
      <c r="AC196" s="59">
        <v>0</v>
      </c>
      <c r="AD196" s="58">
        <v>9</v>
      </c>
      <c r="AE196" s="55">
        <v>0</v>
      </c>
      <c r="AF196" s="59">
        <v>0</v>
      </c>
      <c r="AG196" s="58">
        <v>6</v>
      </c>
      <c r="AH196" s="55">
        <v>0</v>
      </c>
      <c r="AI196" s="59">
        <v>0</v>
      </c>
      <c r="AJ196" s="58">
        <v>7</v>
      </c>
      <c r="AK196" s="55">
        <v>0</v>
      </c>
      <c r="AL196" s="59">
        <v>0</v>
      </c>
    </row>
    <row r="197" spans="2:38" s="47" customFormat="1" ht="15" customHeight="1">
      <c r="B197" s="39" t="s">
        <v>188</v>
      </c>
      <c r="C197" s="58">
        <v>0</v>
      </c>
      <c r="D197" s="55">
        <v>0</v>
      </c>
      <c r="E197" s="59">
        <v>0</v>
      </c>
      <c r="F197" s="58">
        <v>0</v>
      </c>
      <c r="G197" s="55">
        <v>0</v>
      </c>
      <c r="H197" s="59">
        <v>0</v>
      </c>
      <c r="I197" s="58">
        <v>0</v>
      </c>
      <c r="J197" s="55">
        <v>0</v>
      </c>
      <c r="K197" s="59">
        <v>0</v>
      </c>
      <c r="L197" s="58">
        <v>27</v>
      </c>
      <c r="M197" s="55">
        <v>0</v>
      </c>
      <c r="N197" s="59">
        <v>0</v>
      </c>
      <c r="O197" s="58">
        <v>11</v>
      </c>
      <c r="P197" s="55">
        <v>0</v>
      </c>
      <c r="Q197" s="59">
        <v>0</v>
      </c>
      <c r="R197" s="58">
        <v>10</v>
      </c>
      <c r="S197" s="55">
        <v>0</v>
      </c>
      <c r="T197" s="59">
        <v>0</v>
      </c>
      <c r="U197" s="58">
        <v>14</v>
      </c>
      <c r="V197" s="55">
        <v>0</v>
      </c>
      <c r="W197" s="59">
        <v>0</v>
      </c>
      <c r="X197" s="58">
        <v>16</v>
      </c>
      <c r="Y197" s="55">
        <v>0</v>
      </c>
      <c r="Z197" s="59">
        <v>0</v>
      </c>
      <c r="AA197" s="58">
        <v>11</v>
      </c>
      <c r="AB197" s="55">
        <v>0</v>
      </c>
      <c r="AC197" s="59">
        <v>0</v>
      </c>
      <c r="AD197" s="58">
        <v>11</v>
      </c>
      <c r="AE197" s="55">
        <v>0</v>
      </c>
      <c r="AF197" s="59">
        <v>0</v>
      </c>
      <c r="AG197" s="58">
        <v>12</v>
      </c>
      <c r="AH197" s="55">
        <v>0</v>
      </c>
      <c r="AI197" s="59">
        <v>0</v>
      </c>
      <c r="AJ197" s="58">
        <v>5</v>
      </c>
      <c r="AK197" s="55">
        <v>0</v>
      </c>
      <c r="AL197" s="59">
        <v>0</v>
      </c>
    </row>
    <row r="198" spans="2:38" s="47" customFormat="1" ht="15" customHeight="1">
      <c r="B198" s="39" t="s">
        <v>189</v>
      </c>
      <c r="C198" s="58">
        <v>0</v>
      </c>
      <c r="D198" s="55">
        <v>0</v>
      </c>
      <c r="E198" s="59">
        <v>0</v>
      </c>
      <c r="F198" s="58">
        <v>0</v>
      </c>
      <c r="G198" s="55">
        <v>0</v>
      </c>
      <c r="H198" s="59">
        <v>0</v>
      </c>
      <c r="I198" s="58">
        <v>0</v>
      </c>
      <c r="J198" s="55">
        <v>0</v>
      </c>
      <c r="K198" s="59">
        <v>0</v>
      </c>
      <c r="L198" s="58">
        <v>14</v>
      </c>
      <c r="M198" s="55">
        <v>0</v>
      </c>
      <c r="N198" s="59">
        <v>0</v>
      </c>
      <c r="O198" s="58">
        <v>25</v>
      </c>
      <c r="P198" s="55">
        <v>0</v>
      </c>
      <c r="Q198" s="59">
        <v>0</v>
      </c>
      <c r="R198" s="58">
        <v>19</v>
      </c>
      <c r="S198" s="55">
        <v>0</v>
      </c>
      <c r="T198" s="59">
        <v>0</v>
      </c>
      <c r="U198" s="58">
        <v>15</v>
      </c>
      <c r="V198" s="55">
        <v>0</v>
      </c>
      <c r="W198" s="59">
        <v>0</v>
      </c>
      <c r="X198" s="58">
        <v>21</v>
      </c>
      <c r="Y198" s="55">
        <v>0</v>
      </c>
      <c r="Z198" s="59">
        <v>0</v>
      </c>
      <c r="AA198" s="58">
        <v>23</v>
      </c>
      <c r="AB198" s="55">
        <v>0</v>
      </c>
      <c r="AC198" s="59">
        <v>0</v>
      </c>
      <c r="AD198" s="58">
        <v>12</v>
      </c>
      <c r="AE198" s="55">
        <v>0</v>
      </c>
      <c r="AF198" s="59">
        <v>0</v>
      </c>
      <c r="AG198" s="58">
        <v>17</v>
      </c>
      <c r="AH198" s="55">
        <v>0</v>
      </c>
      <c r="AI198" s="59">
        <v>0</v>
      </c>
      <c r="AJ198" s="58">
        <v>18</v>
      </c>
      <c r="AK198" s="55">
        <v>0</v>
      </c>
      <c r="AL198" s="59">
        <v>0</v>
      </c>
    </row>
    <row r="199" spans="2:38" s="47" customFormat="1" ht="15" customHeight="1">
      <c r="B199" s="39" t="s">
        <v>185</v>
      </c>
      <c r="C199" s="58">
        <v>0</v>
      </c>
      <c r="D199" s="55">
        <v>0</v>
      </c>
      <c r="E199" s="59">
        <v>0</v>
      </c>
      <c r="F199" s="58">
        <v>35</v>
      </c>
      <c r="G199" s="55">
        <v>21</v>
      </c>
      <c r="H199" s="59">
        <v>329</v>
      </c>
      <c r="I199" s="58">
        <v>27</v>
      </c>
      <c r="J199" s="55">
        <v>3</v>
      </c>
      <c r="K199" s="59">
        <v>59</v>
      </c>
      <c r="L199" s="58">
        <v>22</v>
      </c>
      <c r="M199" s="55">
        <v>0</v>
      </c>
      <c r="N199" s="59">
        <v>0</v>
      </c>
      <c r="O199" s="58">
        <v>24</v>
      </c>
      <c r="P199" s="55">
        <v>0</v>
      </c>
      <c r="Q199" s="59">
        <v>0</v>
      </c>
      <c r="R199" s="58">
        <v>17</v>
      </c>
      <c r="S199" s="55">
        <v>0</v>
      </c>
      <c r="T199" s="59">
        <v>0</v>
      </c>
      <c r="U199" s="58">
        <v>25</v>
      </c>
      <c r="V199" s="55">
        <v>0</v>
      </c>
      <c r="W199" s="59">
        <v>0</v>
      </c>
      <c r="X199" s="58">
        <v>18</v>
      </c>
      <c r="Y199" s="55">
        <v>0</v>
      </c>
      <c r="Z199" s="59">
        <v>0</v>
      </c>
      <c r="AA199" s="58">
        <v>40</v>
      </c>
      <c r="AB199" s="55">
        <v>0</v>
      </c>
      <c r="AC199" s="59">
        <v>0</v>
      </c>
      <c r="AD199" s="58">
        <v>21</v>
      </c>
      <c r="AE199" s="55">
        <v>0</v>
      </c>
      <c r="AF199" s="59">
        <v>0</v>
      </c>
      <c r="AG199" s="58">
        <v>18</v>
      </c>
      <c r="AH199" s="55">
        <v>0</v>
      </c>
      <c r="AI199" s="59">
        <v>0</v>
      </c>
      <c r="AJ199" s="58">
        <v>12</v>
      </c>
      <c r="AK199" s="55">
        <v>0</v>
      </c>
      <c r="AL199" s="59">
        <v>0</v>
      </c>
    </row>
    <row r="200" spans="2:38" s="47" customFormat="1" ht="15" customHeight="1">
      <c r="B200" s="39" t="s">
        <v>190</v>
      </c>
      <c r="C200" s="58">
        <v>17</v>
      </c>
      <c r="D200" s="55">
        <v>10</v>
      </c>
      <c r="E200" s="59">
        <v>109</v>
      </c>
      <c r="F200" s="58">
        <v>22</v>
      </c>
      <c r="G200" s="55">
        <v>15</v>
      </c>
      <c r="H200" s="59">
        <v>90</v>
      </c>
      <c r="I200" s="58">
        <v>14</v>
      </c>
      <c r="J200" s="55">
        <v>11</v>
      </c>
      <c r="K200" s="59">
        <v>112</v>
      </c>
      <c r="L200" s="58">
        <v>19</v>
      </c>
      <c r="M200" s="55">
        <v>0</v>
      </c>
      <c r="N200" s="59">
        <v>87</v>
      </c>
      <c r="O200" s="58">
        <v>21</v>
      </c>
      <c r="P200" s="55">
        <v>0</v>
      </c>
      <c r="Q200" s="59">
        <v>4</v>
      </c>
      <c r="R200" s="58">
        <v>19</v>
      </c>
      <c r="S200" s="55">
        <v>0</v>
      </c>
      <c r="T200" s="59">
        <v>0</v>
      </c>
      <c r="U200" s="58">
        <v>20</v>
      </c>
      <c r="V200" s="55">
        <v>0</v>
      </c>
      <c r="W200" s="59">
        <v>0</v>
      </c>
      <c r="X200" s="58">
        <v>26</v>
      </c>
      <c r="Y200" s="55">
        <v>0</v>
      </c>
      <c r="Z200" s="59">
        <v>0</v>
      </c>
      <c r="AA200" s="58">
        <v>19</v>
      </c>
      <c r="AB200" s="55">
        <v>0</v>
      </c>
      <c r="AC200" s="59">
        <v>0</v>
      </c>
      <c r="AD200" s="58">
        <v>8</v>
      </c>
      <c r="AE200" s="55">
        <v>0</v>
      </c>
      <c r="AF200" s="59">
        <v>0</v>
      </c>
      <c r="AG200" s="58">
        <v>22</v>
      </c>
      <c r="AH200" s="55">
        <v>0</v>
      </c>
      <c r="AI200" s="59">
        <v>0</v>
      </c>
      <c r="AJ200" s="58">
        <v>8</v>
      </c>
      <c r="AK200" s="55">
        <v>0</v>
      </c>
      <c r="AL200" s="59">
        <v>0</v>
      </c>
    </row>
    <row r="201" spans="2:38" s="47" customFormat="1" ht="15" customHeight="1">
      <c r="B201" s="39" t="s">
        <v>191</v>
      </c>
      <c r="C201" s="58">
        <v>0</v>
      </c>
      <c r="D201" s="55">
        <v>0</v>
      </c>
      <c r="E201" s="59">
        <v>0</v>
      </c>
      <c r="F201" s="58">
        <v>0</v>
      </c>
      <c r="G201" s="55">
        <v>0</v>
      </c>
      <c r="H201" s="59">
        <v>0</v>
      </c>
      <c r="I201" s="58">
        <v>0</v>
      </c>
      <c r="J201" s="55">
        <v>0</v>
      </c>
      <c r="K201" s="59">
        <v>0</v>
      </c>
      <c r="L201" s="58">
        <v>48</v>
      </c>
      <c r="M201" s="55">
        <v>0</v>
      </c>
      <c r="N201" s="59">
        <v>0</v>
      </c>
      <c r="O201" s="58">
        <v>52</v>
      </c>
      <c r="P201" s="55">
        <v>0</v>
      </c>
      <c r="Q201" s="59">
        <v>0</v>
      </c>
      <c r="R201" s="58">
        <v>26</v>
      </c>
      <c r="S201" s="55">
        <v>0</v>
      </c>
      <c r="T201" s="59">
        <v>0</v>
      </c>
      <c r="U201" s="58">
        <v>43</v>
      </c>
      <c r="V201" s="55">
        <v>0</v>
      </c>
      <c r="W201" s="59">
        <v>0</v>
      </c>
      <c r="X201" s="58">
        <v>42</v>
      </c>
      <c r="Y201" s="55">
        <v>0</v>
      </c>
      <c r="Z201" s="59">
        <v>0</v>
      </c>
      <c r="AA201" s="58">
        <v>43</v>
      </c>
      <c r="AB201" s="55">
        <v>0</v>
      </c>
      <c r="AC201" s="59">
        <v>0</v>
      </c>
      <c r="AD201" s="58">
        <v>38</v>
      </c>
      <c r="AE201" s="55">
        <v>0</v>
      </c>
      <c r="AF201" s="59">
        <v>0</v>
      </c>
      <c r="AG201" s="58">
        <v>31</v>
      </c>
      <c r="AH201" s="55">
        <v>0</v>
      </c>
      <c r="AI201" s="59">
        <v>0</v>
      </c>
      <c r="AJ201" s="58">
        <v>36</v>
      </c>
      <c r="AK201" s="55">
        <v>0</v>
      </c>
      <c r="AL201" s="59">
        <v>0</v>
      </c>
    </row>
    <row r="202" spans="2:38" s="47" customFormat="1" ht="15" customHeight="1">
      <c r="B202" s="39" t="s">
        <v>192</v>
      </c>
      <c r="C202" s="58">
        <v>18</v>
      </c>
      <c r="D202" s="55">
        <v>5</v>
      </c>
      <c r="E202" s="59">
        <v>137</v>
      </c>
      <c r="F202" s="58">
        <v>18</v>
      </c>
      <c r="G202" s="55">
        <v>5</v>
      </c>
      <c r="H202" s="59">
        <v>88</v>
      </c>
      <c r="I202" s="58">
        <v>13</v>
      </c>
      <c r="J202" s="55">
        <v>1</v>
      </c>
      <c r="K202" s="59">
        <v>1</v>
      </c>
      <c r="L202" s="58">
        <v>13</v>
      </c>
      <c r="M202" s="55">
        <v>0</v>
      </c>
      <c r="N202" s="59">
        <v>0</v>
      </c>
      <c r="O202" s="58">
        <v>15</v>
      </c>
      <c r="P202" s="55">
        <v>0</v>
      </c>
      <c r="Q202" s="59">
        <v>0</v>
      </c>
      <c r="R202" s="58">
        <v>19</v>
      </c>
      <c r="S202" s="55">
        <v>0</v>
      </c>
      <c r="T202" s="59">
        <v>0</v>
      </c>
      <c r="U202" s="58">
        <v>6</v>
      </c>
      <c r="V202" s="55">
        <v>0</v>
      </c>
      <c r="W202" s="59">
        <v>0</v>
      </c>
      <c r="X202" s="58">
        <v>16</v>
      </c>
      <c r="Y202" s="55">
        <v>0</v>
      </c>
      <c r="Z202" s="59">
        <v>0</v>
      </c>
      <c r="AA202" s="58">
        <v>13</v>
      </c>
      <c r="AB202" s="55">
        <v>0</v>
      </c>
      <c r="AC202" s="59">
        <v>0</v>
      </c>
      <c r="AD202" s="58">
        <v>16</v>
      </c>
      <c r="AE202" s="55">
        <v>0</v>
      </c>
      <c r="AF202" s="59">
        <v>0</v>
      </c>
      <c r="AG202" s="58">
        <v>15</v>
      </c>
      <c r="AH202" s="55">
        <v>0</v>
      </c>
      <c r="AI202" s="59">
        <v>0</v>
      </c>
      <c r="AJ202" s="58">
        <v>6</v>
      </c>
      <c r="AK202" s="55">
        <v>0</v>
      </c>
      <c r="AL202" s="59">
        <v>0</v>
      </c>
    </row>
    <row r="203" spans="2:38" s="47" customFormat="1" ht="15" customHeight="1">
      <c r="B203" s="39" t="s">
        <v>193</v>
      </c>
      <c r="C203" s="58">
        <v>84</v>
      </c>
      <c r="D203" s="55">
        <v>30</v>
      </c>
      <c r="E203" s="59">
        <v>1330</v>
      </c>
      <c r="F203" s="58">
        <v>68</v>
      </c>
      <c r="G203" s="55">
        <v>26</v>
      </c>
      <c r="H203" s="59">
        <v>717</v>
      </c>
      <c r="I203" s="58">
        <v>36</v>
      </c>
      <c r="J203" s="55">
        <v>1</v>
      </c>
      <c r="K203" s="59">
        <v>98</v>
      </c>
      <c r="L203" s="58">
        <v>37</v>
      </c>
      <c r="M203" s="55">
        <v>0</v>
      </c>
      <c r="N203" s="59">
        <v>0</v>
      </c>
      <c r="O203" s="58">
        <v>69</v>
      </c>
      <c r="P203" s="55">
        <v>0</v>
      </c>
      <c r="Q203" s="59">
        <v>0</v>
      </c>
      <c r="R203" s="58">
        <v>116</v>
      </c>
      <c r="S203" s="55">
        <v>0</v>
      </c>
      <c r="T203" s="59">
        <v>0</v>
      </c>
      <c r="U203" s="58">
        <v>145</v>
      </c>
      <c r="V203" s="55">
        <v>0</v>
      </c>
      <c r="W203" s="59">
        <v>0</v>
      </c>
      <c r="X203" s="58">
        <v>77</v>
      </c>
      <c r="Y203" s="55">
        <v>0</v>
      </c>
      <c r="Z203" s="59">
        <v>0</v>
      </c>
      <c r="AA203" s="58">
        <v>45</v>
      </c>
      <c r="AB203" s="55">
        <v>0</v>
      </c>
      <c r="AC203" s="59">
        <v>0</v>
      </c>
      <c r="AD203" s="58">
        <v>45</v>
      </c>
      <c r="AE203" s="55">
        <v>0</v>
      </c>
      <c r="AF203" s="59">
        <v>0</v>
      </c>
      <c r="AG203" s="58">
        <v>46</v>
      </c>
      <c r="AH203" s="55">
        <v>0</v>
      </c>
      <c r="AI203" s="59">
        <v>0</v>
      </c>
      <c r="AJ203" s="58">
        <v>23</v>
      </c>
      <c r="AK203" s="55">
        <v>0</v>
      </c>
      <c r="AL203" s="59">
        <v>0</v>
      </c>
    </row>
    <row r="204" spans="2:38" s="47" customFormat="1" ht="15" customHeight="1">
      <c r="B204" s="39" t="s">
        <v>194</v>
      </c>
      <c r="C204" s="58">
        <v>0</v>
      </c>
      <c r="D204" s="55">
        <v>0</v>
      </c>
      <c r="E204" s="59">
        <v>0</v>
      </c>
      <c r="F204" s="58">
        <v>0</v>
      </c>
      <c r="G204" s="55">
        <v>0</v>
      </c>
      <c r="H204" s="59">
        <v>0</v>
      </c>
      <c r="I204" s="58">
        <v>0</v>
      </c>
      <c r="J204" s="55">
        <v>0</v>
      </c>
      <c r="K204" s="59">
        <v>0</v>
      </c>
      <c r="L204" s="58">
        <v>33</v>
      </c>
      <c r="M204" s="55">
        <v>0</v>
      </c>
      <c r="N204" s="59">
        <v>0</v>
      </c>
      <c r="O204" s="58">
        <v>53</v>
      </c>
      <c r="P204" s="55">
        <v>0</v>
      </c>
      <c r="Q204" s="59">
        <v>0</v>
      </c>
      <c r="R204" s="58">
        <v>42</v>
      </c>
      <c r="S204" s="55">
        <v>0</v>
      </c>
      <c r="T204" s="59">
        <v>0</v>
      </c>
      <c r="U204" s="58">
        <v>31</v>
      </c>
      <c r="V204" s="55">
        <v>0</v>
      </c>
      <c r="W204" s="59">
        <v>0</v>
      </c>
      <c r="X204" s="58">
        <v>41</v>
      </c>
      <c r="Y204" s="55">
        <v>0</v>
      </c>
      <c r="Z204" s="59">
        <v>0</v>
      </c>
      <c r="AA204" s="58">
        <v>32</v>
      </c>
      <c r="AB204" s="55">
        <v>0</v>
      </c>
      <c r="AC204" s="59">
        <v>0</v>
      </c>
      <c r="AD204" s="58">
        <v>41</v>
      </c>
      <c r="AE204" s="55">
        <v>0</v>
      </c>
      <c r="AF204" s="59">
        <v>0</v>
      </c>
      <c r="AG204" s="58">
        <v>21</v>
      </c>
      <c r="AH204" s="55">
        <v>0</v>
      </c>
      <c r="AI204" s="59">
        <v>0</v>
      </c>
      <c r="AJ204" s="58">
        <v>31</v>
      </c>
      <c r="AK204" s="55">
        <v>0</v>
      </c>
      <c r="AL204" s="59">
        <v>0</v>
      </c>
    </row>
    <row r="205" spans="2:38" s="47" customFormat="1" ht="15" customHeight="1">
      <c r="B205" s="39" t="s">
        <v>196</v>
      </c>
      <c r="C205" s="58">
        <v>30</v>
      </c>
      <c r="D205" s="55">
        <v>11</v>
      </c>
      <c r="E205" s="59">
        <v>680</v>
      </c>
      <c r="F205" s="58">
        <v>27</v>
      </c>
      <c r="G205" s="55">
        <v>17</v>
      </c>
      <c r="H205" s="59">
        <v>553</v>
      </c>
      <c r="I205" s="58">
        <v>31</v>
      </c>
      <c r="J205" s="55">
        <v>4</v>
      </c>
      <c r="K205" s="59">
        <v>131</v>
      </c>
      <c r="L205" s="58">
        <v>15</v>
      </c>
      <c r="M205" s="55">
        <v>0</v>
      </c>
      <c r="N205" s="59">
        <v>0</v>
      </c>
      <c r="O205" s="58">
        <v>10</v>
      </c>
      <c r="P205" s="55">
        <v>0</v>
      </c>
      <c r="Q205" s="59">
        <v>0</v>
      </c>
      <c r="R205" s="58">
        <v>16</v>
      </c>
      <c r="S205" s="55">
        <v>0</v>
      </c>
      <c r="T205" s="59">
        <v>0</v>
      </c>
      <c r="U205" s="58">
        <v>22</v>
      </c>
      <c r="V205" s="55">
        <v>0</v>
      </c>
      <c r="W205" s="59">
        <v>0</v>
      </c>
      <c r="X205" s="58">
        <v>19</v>
      </c>
      <c r="Y205" s="55">
        <v>0</v>
      </c>
      <c r="Z205" s="59">
        <v>0</v>
      </c>
      <c r="AA205" s="58">
        <v>17</v>
      </c>
      <c r="AB205" s="55">
        <v>0</v>
      </c>
      <c r="AC205" s="59">
        <v>0</v>
      </c>
      <c r="AD205" s="58">
        <v>11</v>
      </c>
      <c r="AE205" s="55">
        <v>0</v>
      </c>
      <c r="AF205" s="59">
        <v>0</v>
      </c>
      <c r="AG205" s="58">
        <v>17</v>
      </c>
      <c r="AH205" s="55">
        <v>0</v>
      </c>
      <c r="AI205" s="59">
        <v>0</v>
      </c>
      <c r="AJ205" s="58">
        <v>23</v>
      </c>
      <c r="AK205" s="55">
        <v>0</v>
      </c>
      <c r="AL205" s="59">
        <v>0</v>
      </c>
    </row>
    <row r="206" spans="2:38" s="47" customFormat="1" ht="15" customHeight="1">
      <c r="B206" s="39" t="s">
        <v>197</v>
      </c>
      <c r="C206" s="58">
        <v>0</v>
      </c>
      <c r="D206" s="55">
        <v>0</v>
      </c>
      <c r="E206" s="59">
        <v>0</v>
      </c>
      <c r="F206" s="58">
        <v>0</v>
      </c>
      <c r="G206" s="55">
        <v>0</v>
      </c>
      <c r="H206" s="59">
        <v>0</v>
      </c>
      <c r="I206" s="58">
        <v>0</v>
      </c>
      <c r="J206" s="55">
        <v>0</v>
      </c>
      <c r="K206" s="59">
        <v>0</v>
      </c>
      <c r="L206" s="58">
        <v>13</v>
      </c>
      <c r="M206" s="55">
        <v>0</v>
      </c>
      <c r="N206" s="59">
        <v>0</v>
      </c>
      <c r="O206" s="58">
        <v>17</v>
      </c>
      <c r="P206" s="55">
        <v>0</v>
      </c>
      <c r="Q206" s="59">
        <v>0</v>
      </c>
      <c r="R206" s="58">
        <v>11</v>
      </c>
      <c r="S206" s="55">
        <v>0</v>
      </c>
      <c r="T206" s="59">
        <v>0</v>
      </c>
      <c r="U206" s="58">
        <v>18</v>
      </c>
      <c r="V206" s="55">
        <v>0</v>
      </c>
      <c r="W206" s="59">
        <v>0</v>
      </c>
      <c r="X206" s="58">
        <v>14</v>
      </c>
      <c r="Y206" s="55">
        <v>0</v>
      </c>
      <c r="Z206" s="59">
        <v>0</v>
      </c>
      <c r="AA206" s="58">
        <v>17</v>
      </c>
      <c r="AB206" s="55">
        <v>0</v>
      </c>
      <c r="AC206" s="59">
        <v>0</v>
      </c>
      <c r="AD206" s="58">
        <v>19</v>
      </c>
      <c r="AE206" s="55">
        <v>0</v>
      </c>
      <c r="AF206" s="59">
        <v>0</v>
      </c>
      <c r="AG206" s="58">
        <v>21</v>
      </c>
      <c r="AH206" s="55">
        <v>0</v>
      </c>
      <c r="AI206" s="59">
        <v>0</v>
      </c>
      <c r="AJ206" s="58">
        <v>12</v>
      </c>
      <c r="AK206" s="55">
        <v>0</v>
      </c>
      <c r="AL206" s="59">
        <v>0</v>
      </c>
    </row>
    <row r="207" spans="2:38" s="47" customFormat="1" ht="15" customHeight="1">
      <c r="B207" s="39" t="s">
        <v>198</v>
      </c>
      <c r="C207" s="58">
        <v>0</v>
      </c>
      <c r="D207" s="55">
        <v>0</v>
      </c>
      <c r="E207" s="59">
        <v>0</v>
      </c>
      <c r="F207" s="58">
        <v>0</v>
      </c>
      <c r="G207" s="55">
        <v>0</v>
      </c>
      <c r="H207" s="59">
        <v>0</v>
      </c>
      <c r="I207" s="58">
        <v>0</v>
      </c>
      <c r="J207" s="55">
        <v>0</v>
      </c>
      <c r="K207" s="59">
        <v>0</v>
      </c>
      <c r="L207" s="58">
        <v>19</v>
      </c>
      <c r="M207" s="55">
        <v>0</v>
      </c>
      <c r="N207" s="59">
        <v>0</v>
      </c>
      <c r="O207" s="58">
        <v>17</v>
      </c>
      <c r="P207" s="55">
        <v>0</v>
      </c>
      <c r="Q207" s="59">
        <v>0</v>
      </c>
      <c r="R207" s="58">
        <v>18</v>
      </c>
      <c r="S207" s="55">
        <v>0</v>
      </c>
      <c r="T207" s="59">
        <v>0</v>
      </c>
      <c r="U207" s="58">
        <v>19</v>
      </c>
      <c r="V207" s="55">
        <v>0</v>
      </c>
      <c r="W207" s="59">
        <v>0</v>
      </c>
      <c r="X207" s="58">
        <v>19</v>
      </c>
      <c r="Y207" s="55">
        <v>0</v>
      </c>
      <c r="Z207" s="59">
        <v>0</v>
      </c>
      <c r="AA207" s="58">
        <v>26</v>
      </c>
      <c r="AB207" s="55">
        <v>0</v>
      </c>
      <c r="AC207" s="59">
        <v>0</v>
      </c>
      <c r="AD207" s="58">
        <v>13</v>
      </c>
      <c r="AE207" s="55">
        <v>0</v>
      </c>
      <c r="AF207" s="59">
        <v>0</v>
      </c>
      <c r="AG207" s="58">
        <v>12</v>
      </c>
      <c r="AH207" s="55">
        <v>0</v>
      </c>
      <c r="AI207" s="59">
        <v>0</v>
      </c>
      <c r="AJ207" s="58">
        <v>7</v>
      </c>
      <c r="AK207" s="55">
        <v>0</v>
      </c>
      <c r="AL207" s="59">
        <v>0</v>
      </c>
    </row>
    <row r="208" spans="2:38" s="47" customFormat="1" ht="15" customHeight="1">
      <c r="B208" s="39" t="s">
        <v>199</v>
      </c>
      <c r="C208" s="58">
        <v>0</v>
      </c>
      <c r="D208" s="55">
        <v>0</v>
      </c>
      <c r="E208" s="59">
        <v>0</v>
      </c>
      <c r="F208" s="58">
        <v>0</v>
      </c>
      <c r="G208" s="55">
        <v>0</v>
      </c>
      <c r="H208" s="59">
        <v>0</v>
      </c>
      <c r="I208" s="58">
        <v>0</v>
      </c>
      <c r="J208" s="55">
        <v>0</v>
      </c>
      <c r="K208" s="59">
        <v>0</v>
      </c>
      <c r="L208" s="58">
        <v>25</v>
      </c>
      <c r="M208" s="55">
        <v>0</v>
      </c>
      <c r="N208" s="59">
        <v>0</v>
      </c>
      <c r="O208" s="58">
        <v>25</v>
      </c>
      <c r="P208" s="55">
        <v>0</v>
      </c>
      <c r="Q208" s="59">
        <v>0</v>
      </c>
      <c r="R208" s="58">
        <v>14</v>
      </c>
      <c r="S208" s="55">
        <v>0</v>
      </c>
      <c r="T208" s="59">
        <v>0</v>
      </c>
      <c r="U208" s="58">
        <v>14</v>
      </c>
      <c r="V208" s="55">
        <v>0</v>
      </c>
      <c r="W208" s="59">
        <v>0</v>
      </c>
      <c r="X208" s="58">
        <v>23</v>
      </c>
      <c r="Y208" s="55">
        <v>0</v>
      </c>
      <c r="Z208" s="59">
        <v>0</v>
      </c>
      <c r="AA208" s="58">
        <v>20</v>
      </c>
      <c r="AB208" s="55">
        <v>0</v>
      </c>
      <c r="AC208" s="59">
        <v>0</v>
      </c>
      <c r="AD208" s="58">
        <v>26</v>
      </c>
      <c r="AE208" s="55">
        <v>0</v>
      </c>
      <c r="AF208" s="59">
        <v>0</v>
      </c>
      <c r="AG208" s="58">
        <v>23</v>
      </c>
      <c r="AH208" s="55">
        <v>0</v>
      </c>
      <c r="AI208" s="59">
        <v>0</v>
      </c>
      <c r="AJ208" s="58">
        <v>8</v>
      </c>
      <c r="AK208" s="55">
        <v>0</v>
      </c>
      <c r="AL208" s="59">
        <v>0</v>
      </c>
    </row>
    <row r="209" spans="2:38" s="47" customFormat="1" ht="15" customHeight="1">
      <c r="B209" s="39" t="s">
        <v>195</v>
      </c>
      <c r="C209" s="58">
        <v>0</v>
      </c>
      <c r="D209" s="55">
        <v>0</v>
      </c>
      <c r="E209" s="59">
        <v>0</v>
      </c>
      <c r="F209" s="58">
        <v>0</v>
      </c>
      <c r="G209" s="55">
        <v>0</v>
      </c>
      <c r="H209" s="59">
        <v>0</v>
      </c>
      <c r="I209" s="58">
        <v>1</v>
      </c>
      <c r="J209" s="55">
        <v>0</v>
      </c>
      <c r="K209" s="59">
        <v>0</v>
      </c>
      <c r="L209" s="58">
        <v>12</v>
      </c>
      <c r="M209" s="55">
        <v>0</v>
      </c>
      <c r="N209" s="59">
        <v>0</v>
      </c>
      <c r="O209" s="58">
        <v>18</v>
      </c>
      <c r="P209" s="55">
        <v>0</v>
      </c>
      <c r="Q209" s="59">
        <v>0</v>
      </c>
      <c r="R209" s="58">
        <v>9</v>
      </c>
      <c r="S209" s="55">
        <v>0</v>
      </c>
      <c r="T209" s="59">
        <v>0</v>
      </c>
      <c r="U209" s="58">
        <v>11</v>
      </c>
      <c r="V209" s="55">
        <v>0</v>
      </c>
      <c r="W209" s="59">
        <v>0</v>
      </c>
      <c r="X209" s="58">
        <v>16</v>
      </c>
      <c r="Y209" s="55">
        <v>0</v>
      </c>
      <c r="Z209" s="59">
        <v>0</v>
      </c>
      <c r="AA209" s="58">
        <v>7</v>
      </c>
      <c r="AB209" s="55">
        <v>0</v>
      </c>
      <c r="AC209" s="59">
        <v>0</v>
      </c>
      <c r="AD209" s="58">
        <v>11</v>
      </c>
      <c r="AE209" s="55">
        <v>0</v>
      </c>
      <c r="AF209" s="59">
        <v>0</v>
      </c>
      <c r="AG209" s="58">
        <v>7</v>
      </c>
      <c r="AH209" s="55">
        <v>0</v>
      </c>
      <c r="AI209" s="59">
        <v>0</v>
      </c>
      <c r="AJ209" s="58">
        <v>7</v>
      </c>
      <c r="AK209" s="55">
        <v>0</v>
      </c>
      <c r="AL209" s="59">
        <v>0</v>
      </c>
    </row>
    <row r="210" spans="2:38" s="47" customFormat="1" ht="15" customHeight="1">
      <c r="B210" s="39" t="s">
        <v>200</v>
      </c>
      <c r="C210" s="58">
        <v>0</v>
      </c>
      <c r="D210" s="55">
        <v>0</v>
      </c>
      <c r="E210" s="59">
        <v>0</v>
      </c>
      <c r="F210" s="58">
        <v>0</v>
      </c>
      <c r="G210" s="55">
        <v>0</v>
      </c>
      <c r="H210" s="59">
        <v>0</v>
      </c>
      <c r="I210" s="58">
        <v>0</v>
      </c>
      <c r="J210" s="55">
        <v>0</v>
      </c>
      <c r="K210" s="59">
        <v>0</v>
      </c>
      <c r="L210" s="58">
        <v>11</v>
      </c>
      <c r="M210" s="55">
        <v>0</v>
      </c>
      <c r="N210" s="59">
        <v>0</v>
      </c>
      <c r="O210" s="58">
        <v>8</v>
      </c>
      <c r="P210" s="55">
        <v>0</v>
      </c>
      <c r="Q210" s="59">
        <v>0</v>
      </c>
      <c r="R210" s="58">
        <v>10</v>
      </c>
      <c r="S210" s="55">
        <v>0</v>
      </c>
      <c r="T210" s="59">
        <v>0</v>
      </c>
      <c r="U210" s="58">
        <v>9</v>
      </c>
      <c r="V210" s="55">
        <v>0</v>
      </c>
      <c r="W210" s="59">
        <v>0</v>
      </c>
      <c r="X210" s="58">
        <v>23</v>
      </c>
      <c r="Y210" s="55">
        <v>0</v>
      </c>
      <c r="Z210" s="59">
        <v>0</v>
      </c>
      <c r="AA210" s="58">
        <v>14</v>
      </c>
      <c r="AB210" s="55">
        <v>0</v>
      </c>
      <c r="AC210" s="59">
        <v>0</v>
      </c>
      <c r="AD210" s="58">
        <v>6</v>
      </c>
      <c r="AE210" s="55">
        <v>0</v>
      </c>
      <c r="AF210" s="59">
        <v>0</v>
      </c>
      <c r="AG210" s="58">
        <v>12</v>
      </c>
      <c r="AH210" s="55">
        <v>0</v>
      </c>
      <c r="AI210" s="59">
        <v>0</v>
      </c>
      <c r="AJ210" s="58">
        <v>13</v>
      </c>
      <c r="AK210" s="55">
        <v>0</v>
      </c>
      <c r="AL210" s="59">
        <v>0</v>
      </c>
    </row>
    <row r="211" spans="2:38" s="47" customFormat="1" ht="15" customHeight="1">
      <c r="B211" s="39" t="s">
        <v>201</v>
      </c>
      <c r="C211" s="58">
        <v>22</v>
      </c>
      <c r="D211" s="55">
        <v>10</v>
      </c>
      <c r="E211" s="59">
        <v>336</v>
      </c>
      <c r="F211" s="58">
        <v>11</v>
      </c>
      <c r="G211" s="55">
        <v>17</v>
      </c>
      <c r="H211" s="59">
        <v>203</v>
      </c>
      <c r="I211" s="58">
        <v>13</v>
      </c>
      <c r="J211" s="55">
        <v>3</v>
      </c>
      <c r="K211" s="59">
        <v>116</v>
      </c>
      <c r="L211" s="58">
        <v>24</v>
      </c>
      <c r="M211" s="55">
        <v>0</v>
      </c>
      <c r="N211" s="59">
        <v>0</v>
      </c>
      <c r="O211" s="58">
        <v>11</v>
      </c>
      <c r="P211" s="55">
        <v>0</v>
      </c>
      <c r="Q211" s="59">
        <v>0</v>
      </c>
      <c r="R211" s="58">
        <v>13</v>
      </c>
      <c r="S211" s="55">
        <v>0</v>
      </c>
      <c r="T211" s="59">
        <v>0</v>
      </c>
      <c r="U211" s="58">
        <v>17</v>
      </c>
      <c r="V211" s="55">
        <v>0</v>
      </c>
      <c r="W211" s="59">
        <v>0</v>
      </c>
      <c r="X211" s="58">
        <v>14</v>
      </c>
      <c r="Y211" s="55">
        <v>0</v>
      </c>
      <c r="Z211" s="59">
        <v>0</v>
      </c>
      <c r="AA211" s="58">
        <v>24</v>
      </c>
      <c r="AB211" s="55">
        <v>0</v>
      </c>
      <c r="AC211" s="59">
        <v>0</v>
      </c>
      <c r="AD211" s="58">
        <v>13</v>
      </c>
      <c r="AE211" s="55">
        <v>0</v>
      </c>
      <c r="AF211" s="59">
        <v>0</v>
      </c>
      <c r="AG211" s="58">
        <v>10</v>
      </c>
      <c r="AH211" s="55">
        <v>0</v>
      </c>
      <c r="AI211" s="59">
        <v>0</v>
      </c>
      <c r="AJ211" s="58">
        <v>11</v>
      </c>
      <c r="AK211" s="55">
        <v>0</v>
      </c>
      <c r="AL211" s="59">
        <v>0</v>
      </c>
    </row>
    <row r="212" spans="2:38" s="47" customFormat="1" ht="15" customHeight="1">
      <c r="B212" s="39" t="s">
        <v>202</v>
      </c>
      <c r="C212" s="58">
        <v>0</v>
      </c>
      <c r="D212" s="55">
        <v>0</v>
      </c>
      <c r="E212" s="59">
        <v>0</v>
      </c>
      <c r="F212" s="58">
        <v>0</v>
      </c>
      <c r="G212" s="55">
        <v>0</v>
      </c>
      <c r="H212" s="59">
        <v>0</v>
      </c>
      <c r="I212" s="58">
        <v>0</v>
      </c>
      <c r="J212" s="55">
        <v>0</v>
      </c>
      <c r="K212" s="59">
        <v>0</v>
      </c>
      <c r="L212" s="58">
        <v>12</v>
      </c>
      <c r="M212" s="55">
        <v>0</v>
      </c>
      <c r="N212" s="59">
        <v>0</v>
      </c>
      <c r="O212" s="58">
        <v>10</v>
      </c>
      <c r="P212" s="55">
        <v>0</v>
      </c>
      <c r="Q212" s="59">
        <v>0</v>
      </c>
      <c r="R212" s="58">
        <v>11</v>
      </c>
      <c r="S212" s="55">
        <v>0</v>
      </c>
      <c r="T212" s="59">
        <v>0</v>
      </c>
      <c r="U212" s="58">
        <v>14</v>
      </c>
      <c r="V212" s="55">
        <v>0</v>
      </c>
      <c r="W212" s="59">
        <v>0</v>
      </c>
      <c r="X212" s="58">
        <v>15</v>
      </c>
      <c r="Y212" s="55">
        <v>0</v>
      </c>
      <c r="Z212" s="59">
        <v>0</v>
      </c>
      <c r="AA212" s="58">
        <v>12</v>
      </c>
      <c r="AB212" s="55">
        <v>0</v>
      </c>
      <c r="AC212" s="59">
        <v>0</v>
      </c>
      <c r="AD212" s="58">
        <v>9</v>
      </c>
      <c r="AE212" s="55">
        <v>0</v>
      </c>
      <c r="AF212" s="59">
        <v>0</v>
      </c>
      <c r="AG212" s="58">
        <v>2</v>
      </c>
      <c r="AH212" s="55">
        <v>0</v>
      </c>
      <c r="AI212" s="59">
        <v>0</v>
      </c>
      <c r="AJ212" s="58">
        <v>12</v>
      </c>
      <c r="AK212" s="55">
        <v>0</v>
      </c>
      <c r="AL212" s="59">
        <v>0</v>
      </c>
    </row>
    <row r="213" spans="2:38" s="47" customFormat="1" ht="15" customHeight="1">
      <c r="B213" s="39" t="s">
        <v>203</v>
      </c>
      <c r="C213" s="58">
        <v>1</v>
      </c>
      <c r="D213" s="55">
        <v>0</v>
      </c>
      <c r="E213" s="59">
        <v>16</v>
      </c>
      <c r="F213" s="58">
        <v>6</v>
      </c>
      <c r="G213" s="55">
        <v>6</v>
      </c>
      <c r="H213" s="59">
        <v>26</v>
      </c>
      <c r="I213" s="58">
        <v>0</v>
      </c>
      <c r="J213" s="55">
        <v>0</v>
      </c>
      <c r="K213" s="59">
        <v>0</v>
      </c>
      <c r="L213" s="58">
        <v>0</v>
      </c>
      <c r="M213" s="55">
        <v>0</v>
      </c>
      <c r="N213" s="59">
        <v>0</v>
      </c>
      <c r="O213" s="58">
        <v>0</v>
      </c>
      <c r="P213" s="55">
        <v>0</v>
      </c>
      <c r="Q213" s="59">
        <v>0</v>
      </c>
      <c r="R213" s="58">
        <v>1</v>
      </c>
      <c r="S213" s="55">
        <v>0</v>
      </c>
      <c r="T213" s="59">
        <v>0</v>
      </c>
      <c r="U213" s="58">
        <v>1</v>
      </c>
      <c r="V213" s="55">
        <v>0</v>
      </c>
      <c r="W213" s="59">
        <v>0</v>
      </c>
      <c r="X213" s="58">
        <v>1</v>
      </c>
      <c r="Y213" s="55">
        <v>0</v>
      </c>
      <c r="Z213" s="59">
        <v>0</v>
      </c>
      <c r="AA213" s="58">
        <v>7</v>
      </c>
      <c r="AB213" s="55">
        <v>0</v>
      </c>
      <c r="AC213" s="59">
        <v>0</v>
      </c>
      <c r="AD213" s="58">
        <v>2</v>
      </c>
      <c r="AE213" s="55">
        <v>0</v>
      </c>
      <c r="AF213" s="59">
        <v>0</v>
      </c>
      <c r="AG213" s="58">
        <v>4</v>
      </c>
      <c r="AH213" s="55">
        <v>0</v>
      </c>
      <c r="AI213" s="59">
        <v>0</v>
      </c>
      <c r="AJ213" s="58">
        <v>1</v>
      </c>
      <c r="AK213" s="55">
        <v>0</v>
      </c>
      <c r="AL213" s="59">
        <v>0</v>
      </c>
    </row>
    <row r="214" spans="2:38" s="47" customFormat="1" ht="15" customHeight="1" thickBot="1">
      <c r="B214" s="40" t="s">
        <v>204</v>
      </c>
      <c r="C214" s="99">
        <v>22</v>
      </c>
      <c r="D214" s="100">
        <v>9</v>
      </c>
      <c r="E214" s="101">
        <v>3136</v>
      </c>
      <c r="F214" s="99">
        <v>21</v>
      </c>
      <c r="G214" s="100">
        <v>14</v>
      </c>
      <c r="H214" s="101">
        <v>2417</v>
      </c>
      <c r="I214" s="99">
        <v>12</v>
      </c>
      <c r="J214" s="100">
        <v>5</v>
      </c>
      <c r="K214" s="101">
        <v>2078</v>
      </c>
      <c r="L214" s="99">
        <v>36</v>
      </c>
      <c r="M214" s="100">
        <v>0</v>
      </c>
      <c r="N214" s="101">
        <v>2419</v>
      </c>
      <c r="O214" s="99">
        <v>27</v>
      </c>
      <c r="P214" s="100">
        <v>0</v>
      </c>
      <c r="Q214" s="101">
        <v>2543</v>
      </c>
      <c r="R214" s="99">
        <v>38</v>
      </c>
      <c r="S214" s="100">
        <v>0</v>
      </c>
      <c r="T214" s="101">
        <v>2633</v>
      </c>
      <c r="U214" s="99">
        <v>35</v>
      </c>
      <c r="V214" s="100">
        <v>0</v>
      </c>
      <c r="W214" s="101">
        <v>2179</v>
      </c>
      <c r="X214" s="99">
        <v>28</v>
      </c>
      <c r="Y214" s="100">
        <v>0</v>
      </c>
      <c r="Z214" s="101">
        <v>2396</v>
      </c>
      <c r="AA214" s="99">
        <v>29</v>
      </c>
      <c r="AB214" s="100">
        <v>0</v>
      </c>
      <c r="AC214" s="101">
        <v>1620</v>
      </c>
      <c r="AD214" s="99">
        <v>26</v>
      </c>
      <c r="AE214" s="100">
        <v>0</v>
      </c>
      <c r="AF214" s="101">
        <v>1714</v>
      </c>
      <c r="AG214" s="99">
        <v>30</v>
      </c>
      <c r="AH214" s="100">
        <v>0</v>
      </c>
      <c r="AI214" s="101">
        <v>1679</v>
      </c>
      <c r="AJ214" s="99">
        <v>29</v>
      </c>
      <c r="AK214" s="100">
        <v>0</v>
      </c>
      <c r="AL214" s="101">
        <v>678</v>
      </c>
    </row>
    <row r="215" spans="2:38" s="47" customFormat="1" ht="13.5" thickBot="1">
      <c r="B215" s="83" t="s">
        <v>0</v>
      </c>
      <c r="C215" s="44">
        <f aca="true" t="shared" si="28" ref="C215:AL215">SUM(C191:C214)</f>
        <v>271</v>
      </c>
      <c r="D215" s="51">
        <f t="shared" si="28"/>
        <v>84</v>
      </c>
      <c r="E215" s="52">
        <f t="shared" si="28"/>
        <v>7122</v>
      </c>
      <c r="F215" s="109">
        <f t="shared" si="28"/>
        <v>263</v>
      </c>
      <c r="G215" s="51">
        <f t="shared" si="28"/>
        <v>139</v>
      </c>
      <c r="H215" s="93">
        <f t="shared" si="28"/>
        <v>5130</v>
      </c>
      <c r="I215" s="245">
        <f t="shared" si="28"/>
        <v>206</v>
      </c>
      <c r="J215" s="51">
        <f t="shared" si="28"/>
        <v>44</v>
      </c>
      <c r="K215" s="93">
        <f t="shared" si="28"/>
        <v>2906</v>
      </c>
      <c r="L215" s="245">
        <f t="shared" si="28"/>
        <v>498</v>
      </c>
      <c r="M215" s="51">
        <f t="shared" si="28"/>
        <v>0</v>
      </c>
      <c r="N215" s="93">
        <f t="shared" si="28"/>
        <v>2738</v>
      </c>
      <c r="O215" s="245">
        <f t="shared" si="28"/>
        <v>538</v>
      </c>
      <c r="P215" s="51">
        <f t="shared" si="28"/>
        <v>0</v>
      </c>
      <c r="Q215" s="93">
        <f t="shared" si="28"/>
        <v>2860</v>
      </c>
      <c r="R215" s="245">
        <f t="shared" si="28"/>
        <v>561</v>
      </c>
      <c r="S215" s="51">
        <f t="shared" si="28"/>
        <v>0</v>
      </c>
      <c r="T215" s="93">
        <f t="shared" si="28"/>
        <v>2861</v>
      </c>
      <c r="U215" s="245">
        <f t="shared" si="28"/>
        <v>580</v>
      </c>
      <c r="V215" s="51">
        <f t="shared" si="28"/>
        <v>0</v>
      </c>
      <c r="W215" s="93">
        <f t="shared" si="28"/>
        <v>2347</v>
      </c>
      <c r="X215" s="245">
        <f t="shared" si="28"/>
        <v>556</v>
      </c>
      <c r="Y215" s="51">
        <f t="shared" si="28"/>
        <v>0</v>
      </c>
      <c r="Z215" s="93">
        <f t="shared" si="28"/>
        <v>2402</v>
      </c>
      <c r="AA215" s="245">
        <f t="shared" si="28"/>
        <v>513</v>
      </c>
      <c r="AB215" s="51">
        <f t="shared" si="28"/>
        <v>0</v>
      </c>
      <c r="AC215" s="93">
        <f t="shared" si="28"/>
        <v>1620</v>
      </c>
      <c r="AD215" s="245">
        <f t="shared" si="28"/>
        <v>446</v>
      </c>
      <c r="AE215" s="51">
        <f t="shared" si="28"/>
        <v>0</v>
      </c>
      <c r="AF215" s="93">
        <f t="shared" si="28"/>
        <v>1714</v>
      </c>
      <c r="AG215" s="245">
        <f t="shared" si="28"/>
        <v>428</v>
      </c>
      <c r="AH215" s="51">
        <f t="shared" si="28"/>
        <v>0</v>
      </c>
      <c r="AI215" s="93">
        <f t="shared" si="28"/>
        <v>1823</v>
      </c>
      <c r="AJ215" s="245">
        <f t="shared" si="28"/>
        <v>342</v>
      </c>
      <c r="AK215" s="51">
        <f t="shared" si="28"/>
        <v>0</v>
      </c>
      <c r="AL215" s="93">
        <f t="shared" si="28"/>
        <v>789</v>
      </c>
    </row>
    <row r="216" s="47" customFormat="1" ht="12.75"/>
    <row r="217" spans="2:5" s="47" customFormat="1" ht="12.75">
      <c r="B217" s="369"/>
      <c r="C217" s="369"/>
      <c r="D217" s="369"/>
      <c r="E217" s="369"/>
    </row>
    <row r="218" s="47" customFormat="1" ht="12.75"/>
    <row r="219" spans="2:5" s="47" customFormat="1" ht="12.75">
      <c r="B219" s="383" t="s">
        <v>13</v>
      </c>
      <c r="C219" s="383"/>
      <c r="D219" s="383"/>
      <c r="E219" s="383"/>
    </row>
    <row r="220" spans="2:5" s="47" customFormat="1" ht="12.75">
      <c r="B220" s="60"/>
      <c r="C220" s="60"/>
      <c r="D220" s="60"/>
      <c r="E220" s="60"/>
    </row>
    <row r="221" spans="2:5" s="47" customFormat="1" ht="12.75">
      <c r="B221" s="383" t="s">
        <v>41</v>
      </c>
      <c r="C221" s="383"/>
      <c r="D221" s="383"/>
      <c r="E221" s="383"/>
    </row>
    <row r="222" spans="2:5" s="47" customFormat="1" ht="12.75">
      <c r="B222" s="60"/>
      <c r="C222" s="60"/>
      <c r="D222" s="60"/>
      <c r="E222" s="60"/>
    </row>
    <row r="223" spans="2:5" s="47" customFormat="1" ht="12.75">
      <c r="B223" s="383" t="s">
        <v>86</v>
      </c>
      <c r="C223" s="383"/>
      <c r="D223" s="383"/>
      <c r="E223" s="383"/>
    </row>
    <row r="224" spans="2:5" s="47" customFormat="1" ht="12.75">
      <c r="B224" s="60"/>
      <c r="C224" s="60"/>
      <c r="D224" s="60"/>
      <c r="E224" s="60"/>
    </row>
    <row r="225" spans="2:5" s="47" customFormat="1" ht="12.75">
      <c r="B225" s="383">
        <v>2016</v>
      </c>
      <c r="C225" s="383"/>
      <c r="D225" s="383"/>
      <c r="E225" s="383"/>
    </row>
    <row r="226" spans="2:5" s="47" customFormat="1" ht="13.5" thickBot="1">
      <c r="B226" s="4"/>
      <c r="C226" s="4"/>
      <c r="D226" s="4"/>
      <c r="E226" s="4"/>
    </row>
    <row r="227" spans="2:38" s="47" customFormat="1" ht="13.5" customHeight="1" thickBot="1">
      <c r="B227" s="377" t="s">
        <v>394</v>
      </c>
      <c r="C227" s="374" t="s">
        <v>7</v>
      </c>
      <c r="D227" s="375"/>
      <c r="E227" s="376"/>
      <c r="F227" s="374" t="s">
        <v>433</v>
      </c>
      <c r="G227" s="375"/>
      <c r="H227" s="376"/>
      <c r="I227" s="374" t="s">
        <v>434</v>
      </c>
      <c r="J227" s="375"/>
      <c r="K227" s="376"/>
      <c r="L227" s="374" t="s">
        <v>435</v>
      </c>
      <c r="M227" s="375"/>
      <c r="N227" s="376"/>
      <c r="O227" s="374" t="s">
        <v>436</v>
      </c>
      <c r="P227" s="375"/>
      <c r="Q227" s="376"/>
      <c r="R227" s="374" t="s">
        <v>437</v>
      </c>
      <c r="S227" s="375"/>
      <c r="T227" s="376"/>
      <c r="U227" s="374" t="s">
        <v>438</v>
      </c>
      <c r="V227" s="375"/>
      <c r="W227" s="376"/>
      <c r="X227" s="374" t="s">
        <v>439</v>
      </c>
      <c r="Y227" s="375"/>
      <c r="Z227" s="376"/>
      <c r="AA227" s="374" t="s">
        <v>440</v>
      </c>
      <c r="AB227" s="375"/>
      <c r="AC227" s="376"/>
      <c r="AD227" s="374" t="s">
        <v>441</v>
      </c>
      <c r="AE227" s="375"/>
      <c r="AF227" s="376"/>
      <c r="AG227" s="374" t="s">
        <v>442</v>
      </c>
      <c r="AH227" s="375"/>
      <c r="AI227" s="376"/>
      <c r="AJ227" s="374" t="s">
        <v>443</v>
      </c>
      <c r="AK227" s="375"/>
      <c r="AL227" s="376"/>
    </row>
    <row r="228" spans="2:38" s="47" customFormat="1" ht="12.75" customHeight="1">
      <c r="B228" s="378"/>
      <c r="C228" s="367" t="s">
        <v>66</v>
      </c>
      <c r="D228" s="370" t="s">
        <v>67</v>
      </c>
      <c r="E228" s="371"/>
      <c r="F228" s="367" t="s">
        <v>66</v>
      </c>
      <c r="G228" s="370" t="s">
        <v>67</v>
      </c>
      <c r="H228" s="371"/>
      <c r="I228" s="367" t="s">
        <v>66</v>
      </c>
      <c r="J228" s="370" t="s">
        <v>67</v>
      </c>
      <c r="K228" s="371"/>
      <c r="L228" s="367" t="s">
        <v>66</v>
      </c>
      <c r="M228" s="370" t="s">
        <v>67</v>
      </c>
      <c r="N228" s="371"/>
      <c r="O228" s="367" t="s">
        <v>66</v>
      </c>
      <c r="P228" s="370" t="s">
        <v>67</v>
      </c>
      <c r="Q228" s="371"/>
      <c r="R228" s="367" t="s">
        <v>66</v>
      </c>
      <c r="S228" s="370" t="s">
        <v>67</v>
      </c>
      <c r="T228" s="371"/>
      <c r="U228" s="367" t="s">
        <v>66</v>
      </c>
      <c r="V228" s="370" t="s">
        <v>67</v>
      </c>
      <c r="W228" s="371"/>
      <c r="X228" s="367" t="s">
        <v>66</v>
      </c>
      <c r="Y228" s="370" t="s">
        <v>67</v>
      </c>
      <c r="Z228" s="371"/>
      <c r="AA228" s="367" t="s">
        <v>66</v>
      </c>
      <c r="AB228" s="370" t="s">
        <v>67</v>
      </c>
      <c r="AC228" s="371"/>
      <c r="AD228" s="367" t="s">
        <v>66</v>
      </c>
      <c r="AE228" s="370" t="s">
        <v>67</v>
      </c>
      <c r="AF228" s="371"/>
      <c r="AG228" s="367" t="s">
        <v>66</v>
      </c>
      <c r="AH228" s="370" t="s">
        <v>67</v>
      </c>
      <c r="AI228" s="371"/>
      <c r="AJ228" s="367" t="s">
        <v>66</v>
      </c>
      <c r="AK228" s="370" t="s">
        <v>67</v>
      </c>
      <c r="AL228" s="371"/>
    </row>
    <row r="229" spans="2:38" s="47" customFormat="1" ht="13.5" thickBot="1">
      <c r="B229" s="379"/>
      <c r="C229" s="368"/>
      <c r="D229" s="372"/>
      <c r="E229" s="373"/>
      <c r="F229" s="368"/>
      <c r="G229" s="372"/>
      <c r="H229" s="373"/>
      <c r="I229" s="368"/>
      <c r="J229" s="372"/>
      <c r="K229" s="373"/>
      <c r="L229" s="368"/>
      <c r="M229" s="372"/>
      <c r="N229" s="373"/>
      <c r="O229" s="368"/>
      <c r="P229" s="372"/>
      <c r="Q229" s="373"/>
      <c r="R229" s="368"/>
      <c r="S229" s="372"/>
      <c r="T229" s="373"/>
      <c r="U229" s="368"/>
      <c r="V229" s="372"/>
      <c r="W229" s="373"/>
      <c r="X229" s="368"/>
      <c r="Y229" s="372"/>
      <c r="Z229" s="373"/>
      <c r="AA229" s="368"/>
      <c r="AB229" s="372"/>
      <c r="AC229" s="373"/>
      <c r="AD229" s="368"/>
      <c r="AE229" s="372"/>
      <c r="AF229" s="373"/>
      <c r="AG229" s="368"/>
      <c r="AH229" s="372"/>
      <c r="AI229" s="373"/>
      <c r="AJ229" s="368"/>
      <c r="AK229" s="372"/>
      <c r="AL229" s="373"/>
    </row>
    <row r="230" spans="2:38" s="47" customFormat="1" ht="26.25" thickBot="1">
      <c r="B230" s="380"/>
      <c r="C230" s="96" t="s">
        <v>68</v>
      </c>
      <c r="D230" s="97" t="s">
        <v>69</v>
      </c>
      <c r="E230" s="98" t="s">
        <v>70</v>
      </c>
      <c r="F230" s="96" t="s">
        <v>68</v>
      </c>
      <c r="G230" s="97" t="s">
        <v>69</v>
      </c>
      <c r="H230" s="98" t="s">
        <v>70</v>
      </c>
      <c r="I230" s="96" t="s">
        <v>68</v>
      </c>
      <c r="J230" s="97" t="s">
        <v>69</v>
      </c>
      <c r="K230" s="98" t="s">
        <v>70</v>
      </c>
      <c r="L230" s="96" t="s">
        <v>68</v>
      </c>
      <c r="M230" s="97" t="s">
        <v>69</v>
      </c>
      <c r="N230" s="98" t="s">
        <v>70</v>
      </c>
      <c r="O230" s="96" t="s">
        <v>68</v>
      </c>
      <c r="P230" s="97" t="s">
        <v>69</v>
      </c>
      <c r="Q230" s="98" t="s">
        <v>70</v>
      </c>
      <c r="R230" s="96" t="s">
        <v>68</v>
      </c>
      <c r="S230" s="97" t="s">
        <v>69</v>
      </c>
      <c r="T230" s="98" t="s">
        <v>70</v>
      </c>
      <c r="U230" s="96" t="s">
        <v>68</v>
      </c>
      <c r="V230" s="97" t="s">
        <v>69</v>
      </c>
      <c r="W230" s="98" t="s">
        <v>70</v>
      </c>
      <c r="X230" s="96" t="s">
        <v>68</v>
      </c>
      <c r="Y230" s="97" t="s">
        <v>69</v>
      </c>
      <c r="Z230" s="98" t="s">
        <v>70</v>
      </c>
      <c r="AA230" s="96" t="s">
        <v>68</v>
      </c>
      <c r="AB230" s="97" t="s">
        <v>69</v>
      </c>
      <c r="AC230" s="98" t="s">
        <v>70</v>
      </c>
      <c r="AD230" s="96" t="s">
        <v>68</v>
      </c>
      <c r="AE230" s="97" t="s">
        <v>69</v>
      </c>
      <c r="AF230" s="98" t="s">
        <v>70</v>
      </c>
      <c r="AG230" s="96" t="s">
        <v>68</v>
      </c>
      <c r="AH230" s="97" t="s">
        <v>69</v>
      </c>
      <c r="AI230" s="98" t="s">
        <v>70</v>
      </c>
      <c r="AJ230" s="96" t="s">
        <v>68</v>
      </c>
      <c r="AK230" s="97" t="s">
        <v>69</v>
      </c>
      <c r="AL230" s="98" t="s">
        <v>70</v>
      </c>
    </row>
    <row r="231" spans="2:38" s="47" customFormat="1" ht="15" customHeight="1">
      <c r="B231" s="5" t="s">
        <v>205</v>
      </c>
      <c r="C231" s="76">
        <v>0</v>
      </c>
      <c r="D231" s="65">
        <v>0</v>
      </c>
      <c r="E231" s="77">
        <v>27</v>
      </c>
      <c r="F231" s="76">
        <v>1</v>
      </c>
      <c r="G231" s="65">
        <v>0</v>
      </c>
      <c r="H231" s="77">
        <v>22</v>
      </c>
      <c r="I231" s="76">
        <v>0</v>
      </c>
      <c r="J231" s="65">
        <v>0</v>
      </c>
      <c r="K231" s="77">
        <v>14</v>
      </c>
      <c r="L231" s="76">
        <v>4</v>
      </c>
      <c r="M231" s="65">
        <v>0</v>
      </c>
      <c r="N231" s="77">
        <v>0</v>
      </c>
      <c r="O231" s="76">
        <v>5</v>
      </c>
      <c r="P231" s="65">
        <v>0</v>
      </c>
      <c r="Q231" s="77">
        <v>0</v>
      </c>
      <c r="R231" s="76">
        <v>1</v>
      </c>
      <c r="S231" s="65">
        <v>0</v>
      </c>
      <c r="T231" s="77">
        <v>0</v>
      </c>
      <c r="U231" s="76">
        <v>0</v>
      </c>
      <c r="V231" s="65">
        <v>0</v>
      </c>
      <c r="W231" s="77">
        <v>0</v>
      </c>
      <c r="X231" s="76">
        <v>1</v>
      </c>
      <c r="Y231" s="65">
        <v>0</v>
      </c>
      <c r="Z231" s="77">
        <v>0</v>
      </c>
      <c r="AA231" s="76">
        <v>0</v>
      </c>
      <c r="AB231" s="65">
        <v>0</v>
      </c>
      <c r="AC231" s="77">
        <v>0</v>
      </c>
      <c r="AD231" s="76">
        <v>3</v>
      </c>
      <c r="AE231" s="65">
        <v>0</v>
      </c>
      <c r="AF231" s="77">
        <v>0</v>
      </c>
      <c r="AG231" s="76">
        <v>0</v>
      </c>
      <c r="AH231" s="65">
        <v>0</v>
      </c>
      <c r="AI231" s="77">
        <v>0</v>
      </c>
      <c r="AJ231" s="76">
        <v>0</v>
      </c>
      <c r="AK231" s="65">
        <v>0</v>
      </c>
      <c r="AL231" s="77">
        <v>0</v>
      </c>
    </row>
    <row r="232" spans="2:38" s="47" customFormat="1" ht="15" customHeight="1">
      <c r="B232" s="6" t="s">
        <v>206</v>
      </c>
      <c r="C232" s="58">
        <v>1</v>
      </c>
      <c r="D232" s="55">
        <v>0</v>
      </c>
      <c r="E232" s="59">
        <v>127</v>
      </c>
      <c r="F232" s="58">
        <v>2</v>
      </c>
      <c r="G232" s="55">
        <v>3</v>
      </c>
      <c r="H232" s="59">
        <v>118</v>
      </c>
      <c r="I232" s="58">
        <v>0</v>
      </c>
      <c r="J232" s="55">
        <v>0</v>
      </c>
      <c r="K232" s="59">
        <v>82</v>
      </c>
      <c r="L232" s="58">
        <v>1</v>
      </c>
      <c r="M232" s="55">
        <v>0</v>
      </c>
      <c r="N232" s="59">
        <v>0</v>
      </c>
      <c r="O232" s="58">
        <v>3</v>
      </c>
      <c r="P232" s="55">
        <v>0</v>
      </c>
      <c r="Q232" s="59">
        <v>0</v>
      </c>
      <c r="R232" s="58">
        <v>1</v>
      </c>
      <c r="S232" s="55">
        <v>0</v>
      </c>
      <c r="T232" s="59">
        <v>0</v>
      </c>
      <c r="U232" s="58">
        <v>2</v>
      </c>
      <c r="V232" s="55">
        <v>0</v>
      </c>
      <c r="W232" s="59">
        <v>0</v>
      </c>
      <c r="X232" s="58">
        <v>4</v>
      </c>
      <c r="Y232" s="55">
        <v>0</v>
      </c>
      <c r="Z232" s="59">
        <v>0</v>
      </c>
      <c r="AA232" s="58">
        <v>1</v>
      </c>
      <c r="AB232" s="55">
        <v>0</v>
      </c>
      <c r="AC232" s="59">
        <v>0</v>
      </c>
      <c r="AD232" s="58">
        <v>2</v>
      </c>
      <c r="AE232" s="55">
        <v>0</v>
      </c>
      <c r="AF232" s="59">
        <v>0</v>
      </c>
      <c r="AG232" s="58">
        <v>1</v>
      </c>
      <c r="AH232" s="55">
        <v>0</v>
      </c>
      <c r="AI232" s="59">
        <v>0</v>
      </c>
      <c r="AJ232" s="58">
        <v>2</v>
      </c>
      <c r="AK232" s="55">
        <v>0</v>
      </c>
      <c r="AL232" s="59">
        <v>0</v>
      </c>
    </row>
    <row r="233" spans="2:38" s="47" customFormat="1" ht="15" customHeight="1">
      <c r="B233" s="6" t="s">
        <v>207</v>
      </c>
      <c r="C233" s="58">
        <v>1</v>
      </c>
      <c r="D233" s="55">
        <v>0</v>
      </c>
      <c r="E233" s="59">
        <v>2</v>
      </c>
      <c r="F233" s="58">
        <v>0</v>
      </c>
      <c r="G233" s="55">
        <v>0</v>
      </c>
      <c r="H233" s="59">
        <v>6</v>
      </c>
      <c r="I233" s="58">
        <v>0</v>
      </c>
      <c r="J233" s="55">
        <v>0</v>
      </c>
      <c r="K233" s="59">
        <v>4</v>
      </c>
      <c r="L233" s="58">
        <v>0</v>
      </c>
      <c r="M233" s="55">
        <v>0</v>
      </c>
      <c r="N233" s="59">
        <v>0</v>
      </c>
      <c r="O233" s="58">
        <v>1</v>
      </c>
      <c r="P233" s="55">
        <v>0</v>
      </c>
      <c r="Q233" s="59">
        <v>0</v>
      </c>
      <c r="R233" s="58">
        <v>0</v>
      </c>
      <c r="S233" s="55">
        <v>0</v>
      </c>
      <c r="T233" s="59">
        <v>0</v>
      </c>
      <c r="U233" s="58">
        <v>0</v>
      </c>
      <c r="V233" s="55">
        <v>0</v>
      </c>
      <c r="W233" s="59">
        <v>0</v>
      </c>
      <c r="X233" s="58">
        <v>0</v>
      </c>
      <c r="Y233" s="55">
        <v>0</v>
      </c>
      <c r="Z233" s="59">
        <v>0</v>
      </c>
      <c r="AA233" s="58">
        <v>0</v>
      </c>
      <c r="AB233" s="55">
        <v>0</v>
      </c>
      <c r="AC233" s="59">
        <v>0</v>
      </c>
      <c r="AD233" s="58">
        <v>0</v>
      </c>
      <c r="AE233" s="55">
        <v>0</v>
      </c>
      <c r="AF233" s="59">
        <v>0</v>
      </c>
      <c r="AG233" s="58">
        <v>0</v>
      </c>
      <c r="AH233" s="55">
        <v>0</v>
      </c>
      <c r="AI233" s="59">
        <v>0</v>
      </c>
      <c r="AJ233" s="58">
        <v>0</v>
      </c>
      <c r="AK233" s="55">
        <v>0</v>
      </c>
      <c r="AL233" s="59">
        <v>0</v>
      </c>
    </row>
    <row r="234" spans="2:38" s="47" customFormat="1" ht="15" customHeight="1">
      <c r="B234" s="6" t="s">
        <v>208</v>
      </c>
      <c r="C234" s="58">
        <v>1</v>
      </c>
      <c r="D234" s="55">
        <v>1</v>
      </c>
      <c r="E234" s="59">
        <v>3</v>
      </c>
      <c r="F234" s="58">
        <v>2</v>
      </c>
      <c r="G234" s="55">
        <v>2</v>
      </c>
      <c r="H234" s="59">
        <v>8</v>
      </c>
      <c r="I234" s="58">
        <v>0</v>
      </c>
      <c r="J234" s="55">
        <v>0</v>
      </c>
      <c r="K234" s="59">
        <v>6</v>
      </c>
      <c r="L234" s="58">
        <v>0</v>
      </c>
      <c r="M234" s="55">
        <v>0</v>
      </c>
      <c r="N234" s="59">
        <v>0</v>
      </c>
      <c r="O234" s="58">
        <v>0</v>
      </c>
      <c r="P234" s="55">
        <v>0</v>
      </c>
      <c r="Q234" s="59">
        <v>0</v>
      </c>
      <c r="R234" s="58">
        <v>0</v>
      </c>
      <c r="S234" s="55">
        <v>0</v>
      </c>
      <c r="T234" s="59">
        <v>0</v>
      </c>
      <c r="U234" s="58">
        <v>0</v>
      </c>
      <c r="V234" s="55">
        <v>0</v>
      </c>
      <c r="W234" s="59">
        <v>0</v>
      </c>
      <c r="X234" s="58">
        <v>2</v>
      </c>
      <c r="Y234" s="55">
        <v>0</v>
      </c>
      <c r="Z234" s="59">
        <v>0</v>
      </c>
      <c r="AA234" s="58">
        <v>0</v>
      </c>
      <c r="AB234" s="55">
        <v>0</v>
      </c>
      <c r="AC234" s="59">
        <v>0</v>
      </c>
      <c r="AD234" s="58">
        <v>0</v>
      </c>
      <c r="AE234" s="55">
        <v>0</v>
      </c>
      <c r="AF234" s="59">
        <v>0</v>
      </c>
      <c r="AG234" s="58">
        <v>0</v>
      </c>
      <c r="AH234" s="55">
        <v>0</v>
      </c>
      <c r="AI234" s="59">
        <v>0</v>
      </c>
      <c r="AJ234" s="58">
        <v>0</v>
      </c>
      <c r="AK234" s="55">
        <v>0</v>
      </c>
      <c r="AL234" s="59">
        <v>0</v>
      </c>
    </row>
    <row r="235" spans="2:38" s="47" customFormat="1" ht="15" customHeight="1">
      <c r="B235" s="6" t="s">
        <v>209</v>
      </c>
      <c r="C235" s="58">
        <v>1</v>
      </c>
      <c r="D235" s="55">
        <v>1</v>
      </c>
      <c r="E235" s="59">
        <v>41</v>
      </c>
      <c r="F235" s="58">
        <v>2</v>
      </c>
      <c r="G235" s="55">
        <v>3</v>
      </c>
      <c r="H235" s="59">
        <v>21</v>
      </c>
      <c r="I235" s="58">
        <v>3</v>
      </c>
      <c r="J235" s="55">
        <v>2</v>
      </c>
      <c r="K235" s="59">
        <v>15</v>
      </c>
      <c r="L235" s="58">
        <v>2</v>
      </c>
      <c r="M235" s="55">
        <v>0</v>
      </c>
      <c r="N235" s="59">
        <v>0</v>
      </c>
      <c r="O235" s="58">
        <v>4</v>
      </c>
      <c r="P235" s="55">
        <v>0</v>
      </c>
      <c r="Q235" s="59">
        <v>0</v>
      </c>
      <c r="R235" s="58">
        <v>9</v>
      </c>
      <c r="S235" s="55">
        <v>0</v>
      </c>
      <c r="T235" s="59">
        <v>0</v>
      </c>
      <c r="U235" s="58">
        <v>5</v>
      </c>
      <c r="V235" s="55">
        <v>0</v>
      </c>
      <c r="W235" s="59">
        <v>0</v>
      </c>
      <c r="X235" s="58">
        <v>1</v>
      </c>
      <c r="Y235" s="55">
        <v>0</v>
      </c>
      <c r="Z235" s="59">
        <v>0</v>
      </c>
      <c r="AA235" s="58">
        <v>6</v>
      </c>
      <c r="AB235" s="55">
        <v>0</v>
      </c>
      <c r="AC235" s="59">
        <v>0</v>
      </c>
      <c r="AD235" s="58">
        <v>0</v>
      </c>
      <c r="AE235" s="55">
        <v>0</v>
      </c>
      <c r="AF235" s="59">
        <v>0</v>
      </c>
      <c r="AG235" s="58">
        <v>2</v>
      </c>
      <c r="AH235" s="55">
        <v>0</v>
      </c>
      <c r="AI235" s="59">
        <v>0</v>
      </c>
      <c r="AJ235" s="58">
        <v>1</v>
      </c>
      <c r="AK235" s="55">
        <v>0</v>
      </c>
      <c r="AL235" s="59">
        <v>0</v>
      </c>
    </row>
    <row r="236" spans="2:38" s="47" customFormat="1" ht="15" customHeight="1">
      <c r="B236" s="6" t="s">
        <v>210</v>
      </c>
      <c r="C236" s="58">
        <v>0</v>
      </c>
      <c r="D236" s="55">
        <v>0</v>
      </c>
      <c r="E236" s="59">
        <v>24</v>
      </c>
      <c r="F236" s="58">
        <v>0</v>
      </c>
      <c r="G236" s="55">
        <v>1</v>
      </c>
      <c r="H236" s="59">
        <v>40</v>
      </c>
      <c r="I236" s="58">
        <v>1</v>
      </c>
      <c r="J236" s="55">
        <v>1</v>
      </c>
      <c r="K236" s="59">
        <v>6</v>
      </c>
      <c r="L236" s="58">
        <v>1</v>
      </c>
      <c r="M236" s="55">
        <v>0</v>
      </c>
      <c r="N236" s="59">
        <v>0</v>
      </c>
      <c r="O236" s="58">
        <v>1</v>
      </c>
      <c r="P236" s="55">
        <v>0</v>
      </c>
      <c r="Q236" s="59">
        <v>0</v>
      </c>
      <c r="R236" s="58">
        <v>0</v>
      </c>
      <c r="S236" s="55">
        <v>0</v>
      </c>
      <c r="T236" s="59">
        <v>0</v>
      </c>
      <c r="U236" s="58">
        <v>0</v>
      </c>
      <c r="V236" s="55">
        <v>0</v>
      </c>
      <c r="W236" s="59">
        <v>0</v>
      </c>
      <c r="X236" s="58">
        <v>0</v>
      </c>
      <c r="Y236" s="55">
        <v>0</v>
      </c>
      <c r="Z236" s="59">
        <v>0</v>
      </c>
      <c r="AA236" s="58">
        <v>0</v>
      </c>
      <c r="AB236" s="55">
        <v>0</v>
      </c>
      <c r="AC236" s="59">
        <v>0</v>
      </c>
      <c r="AD236" s="58">
        <v>0</v>
      </c>
      <c r="AE236" s="55">
        <v>0</v>
      </c>
      <c r="AF236" s="59">
        <v>0</v>
      </c>
      <c r="AG236" s="58">
        <v>0</v>
      </c>
      <c r="AH236" s="55">
        <v>0</v>
      </c>
      <c r="AI236" s="59">
        <v>0</v>
      </c>
      <c r="AJ236" s="58">
        <v>0</v>
      </c>
      <c r="AK236" s="55">
        <v>0</v>
      </c>
      <c r="AL236" s="59">
        <v>0</v>
      </c>
    </row>
    <row r="237" spans="2:38" s="47" customFormat="1" ht="15" customHeight="1">
      <c r="B237" s="46" t="s">
        <v>418</v>
      </c>
      <c r="C237" s="58">
        <v>4</v>
      </c>
      <c r="D237" s="55">
        <v>1</v>
      </c>
      <c r="E237" s="59">
        <v>3</v>
      </c>
      <c r="F237" s="58">
        <v>1</v>
      </c>
      <c r="G237" s="55">
        <v>0</v>
      </c>
      <c r="H237" s="59">
        <v>4</v>
      </c>
      <c r="I237" s="58">
        <v>0</v>
      </c>
      <c r="J237" s="55">
        <v>0</v>
      </c>
      <c r="K237" s="59">
        <v>2</v>
      </c>
      <c r="L237" s="58">
        <v>0</v>
      </c>
      <c r="M237" s="55">
        <v>0</v>
      </c>
      <c r="N237" s="59">
        <v>7</v>
      </c>
      <c r="O237" s="58">
        <v>0</v>
      </c>
      <c r="P237" s="55">
        <v>0</v>
      </c>
      <c r="Q237" s="59">
        <v>2</v>
      </c>
      <c r="R237" s="58">
        <v>0</v>
      </c>
      <c r="S237" s="55">
        <v>0</v>
      </c>
      <c r="T237" s="59">
        <v>3</v>
      </c>
      <c r="U237" s="58">
        <v>3</v>
      </c>
      <c r="V237" s="55">
        <v>0</v>
      </c>
      <c r="W237" s="59">
        <v>10</v>
      </c>
      <c r="X237" s="58">
        <v>1</v>
      </c>
      <c r="Y237" s="55">
        <v>0</v>
      </c>
      <c r="Z237" s="59">
        <v>2</v>
      </c>
      <c r="AA237" s="58">
        <v>0</v>
      </c>
      <c r="AB237" s="55">
        <v>0</v>
      </c>
      <c r="AC237" s="59">
        <v>4</v>
      </c>
      <c r="AD237" s="58">
        <v>0</v>
      </c>
      <c r="AE237" s="55">
        <v>0</v>
      </c>
      <c r="AF237" s="59">
        <v>4</v>
      </c>
      <c r="AG237" s="58">
        <v>0</v>
      </c>
      <c r="AH237" s="55">
        <v>0</v>
      </c>
      <c r="AI237" s="59">
        <v>4</v>
      </c>
      <c r="AJ237" s="58">
        <v>0</v>
      </c>
      <c r="AK237" s="55">
        <v>0</v>
      </c>
      <c r="AL237" s="59">
        <v>7</v>
      </c>
    </row>
    <row r="238" spans="2:38" s="47" customFormat="1" ht="15" customHeight="1">
      <c r="B238" s="6" t="s">
        <v>419</v>
      </c>
      <c r="C238" s="58">
        <v>0</v>
      </c>
      <c r="D238" s="55">
        <v>0</v>
      </c>
      <c r="E238" s="59">
        <v>4</v>
      </c>
      <c r="F238" s="58">
        <v>0</v>
      </c>
      <c r="G238" s="55">
        <v>0</v>
      </c>
      <c r="H238" s="59">
        <v>10</v>
      </c>
      <c r="I238" s="58">
        <v>0</v>
      </c>
      <c r="J238" s="55">
        <v>0</v>
      </c>
      <c r="K238" s="59">
        <v>7</v>
      </c>
      <c r="L238" s="58">
        <v>1</v>
      </c>
      <c r="M238" s="55">
        <v>0</v>
      </c>
      <c r="N238" s="59">
        <v>7</v>
      </c>
      <c r="O238" s="58">
        <v>0</v>
      </c>
      <c r="P238" s="55">
        <v>0</v>
      </c>
      <c r="Q238" s="59">
        <v>4</v>
      </c>
      <c r="R238" s="58">
        <v>0</v>
      </c>
      <c r="S238" s="55">
        <v>0</v>
      </c>
      <c r="T238" s="59">
        <v>4</v>
      </c>
      <c r="U238" s="58">
        <v>0</v>
      </c>
      <c r="V238" s="55">
        <v>0</v>
      </c>
      <c r="W238" s="59">
        <v>2</v>
      </c>
      <c r="X238" s="58">
        <v>1</v>
      </c>
      <c r="Y238" s="55">
        <v>0</v>
      </c>
      <c r="Z238" s="59">
        <v>9</v>
      </c>
      <c r="AA238" s="58">
        <v>0</v>
      </c>
      <c r="AB238" s="55">
        <v>0</v>
      </c>
      <c r="AC238" s="59">
        <v>5</v>
      </c>
      <c r="AD238" s="58">
        <v>0</v>
      </c>
      <c r="AE238" s="55">
        <v>0</v>
      </c>
      <c r="AF238" s="59">
        <v>3</v>
      </c>
      <c r="AG238" s="58">
        <v>0</v>
      </c>
      <c r="AH238" s="55">
        <v>0</v>
      </c>
      <c r="AI238" s="59">
        <v>5</v>
      </c>
      <c r="AJ238" s="58">
        <v>0</v>
      </c>
      <c r="AK238" s="55">
        <v>0</v>
      </c>
      <c r="AL238" s="59">
        <v>4</v>
      </c>
    </row>
    <row r="239" spans="2:38" s="47" customFormat="1" ht="15" customHeight="1">
      <c r="B239" s="6" t="s">
        <v>211</v>
      </c>
      <c r="C239" s="58">
        <v>35</v>
      </c>
      <c r="D239" s="55">
        <v>14</v>
      </c>
      <c r="E239" s="59">
        <v>1025</v>
      </c>
      <c r="F239" s="58">
        <v>14</v>
      </c>
      <c r="G239" s="55">
        <v>4</v>
      </c>
      <c r="H239" s="59">
        <v>815</v>
      </c>
      <c r="I239" s="58">
        <v>19</v>
      </c>
      <c r="J239" s="55">
        <v>4</v>
      </c>
      <c r="K239" s="59">
        <v>672</v>
      </c>
      <c r="L239" s="58">
        <v>29</v>
      </c>
      <c r="M239" s="55">
        <v>0</v>
      </c>
      <c r="N239" s="59">
        <v>0</v>
      </c>
      <c r="O239" s="58">
        <v>29</v>
      </c>
      <c r="P239" s="55">
        <v>0</v>
      </c>
      <c r="Q239" s="59">
        <v>0</v>
      </c>
      <c r="R239" s="58">
        <v>28</v>
      </c>
      <c r="S239" s="55">
        <v>0</v>
      </c>
      <c r="T239" s="59">
        <v>0</v>
      </c>
      <c r="U239" s="58">
        <v>23</v>
      </c>
      <c r="V239" s="55">
        <v>0</v>
      </c>
      <c r="W239" s="59">
        <v>0</v>
      </c>
      <c r="X239" s="58">
        <v>42</v>
      </c>
      <c r="Y239" s="55">
        <v>0</v>
      </c>
      <c r="Z239" s="59">
        <v>0</v>
      </c>
      <c r="AA239" s="58">
        <v>35</v>
      </c>
      <c r="AB239" s="55">
        <v>0</v>
      </c>
      <c r="AC239" s="59">
        <v>0</v>
      </c>
      <c r="AD239" s="58">
        <v>22</v>
      </c>
      <c r="AE239" s="55">
        <v>0</v>
      </c>
      <c r="AF239" s="59">
        <v>0</v>
      </c>
      <c r="AG239" s="58">
        <v>28</v>
      </c>
      <c r="AH239" s="55">
        <v>0</v>
      </c>
      <c r="AI239" s="59">
        <v>0</v>
      </c>
      <c r="AJ239" s="58">
        <v>11</v>
      </c>
      <c r="AK239" s="55">
        <v>0</v>
      </c>
      <c r="AL239" s="59">
        <v>0</v>
      </c>
    </row>
    <row r="240" spans="2:38" s="47" customFormat="1" ht="15" customHeight="1" thickBot="1">
      <c r="B240" s="7" t="s">
        <v>212</v>
      </c>
      <c r="C240" s="81">
        <v>3</v>
      </c>
      <c r="D240" s="70">
        <v>2</v>
      </c>
      <c r="E240" s="82">
        <v>63</v>
      </c>
      <c r="F240" s="81">
        <v>0</v>
      </c>
      <c r="G240" s="70">
        <v>2</v>
      </c>
      <c r="H240" s="82">
        <v>63</v>
      </c>
      <c r="I240" s="81">
        <v>4</v>
      </c>
      <c r="J240" s="70">
        <v>3</v>
      </c>
      <c r="K240" s="82">
        <v>37</v>
      </c>
      <c r="L240" s="81">
        <v>0</v>
      </c>
      <c r="M240" s="70">
        <v>0</v>
      </c>
      <c r="N240" s="82">
        <v>0</v>
      </c>
      <c r="O240" s="81">
        <v>0</v>
      </c>
      <c r="P240" s="70">
        <v>0</v>
      </c>
      <c r="Q240" s="82">
        <v>0</v>
      </c>
      <c r="R240" s="81">
        <v>0</v>
      </c>
      <c r="S240" s="70">
        <v>0</v>
      </c>
      <c r="T240" s="82">
        <v>0</v>
      </c>
      <c r="U240" s="81">
        <v>0</v>
      </c>
      <c r="V240" s="70">
        <v>0</v>
      </c>
      <c r="W240" s="82">
        <v>0</v>
      </c>
      <c r="X240" s="81">
        <v>4</v>
      </c>
      <c r="Y240" s="70">
        <v>0</v>
      </c>
      <c r="Z240" s="82">
        <v>0</v>
      </c>
      <c r="AA240" s="81">
        <v>1</v>
      </c>
      <c r="AB240" s="70">
        <v>0</v>
      </c>
      <c r="AC240" s="82">
        <v>0</v>
      </c>
      <c r="AD240" s="81">
        <v>3</v>
      </c>
      <c r="AE240" s="70">
        <v>0</v>
      </c>
      <c r="AF240" s="82">
        <v>0</v>
      </c>
      <c r="AG240" s="81">
        <v>0</v>
      </c>
      <c r="AH240" s="70">
        <v>0</v>
      </c>
      <c r="AI240" s="82">
        <v>0</v>
      </c>
      <c r="AJ240" s="81">
        <v>4</v>
      </c>
      <c r="AK240" s="70">
        <v>0</v>
      </c>
      <c r="AL240" s="82">
        <v>0</v>
      </c>
    </row>
    <row r="241" spans="2:38" s="47" customFormat="1" ht="13.5" thickBot="1">
      <c r="B241" s="83" t="s">
        <v>0</v>
      </c>
      <c r="C241" s="44">
        <f aca="true" t="shared" si="29" ref="C241:AL241">SUM(C231:C240)</f>
        <v>46</v>
      </c>
      <c r="D241" s="51">
        <f t="shared" si="29"/>
        <v>19</v>
      </c>
      <c r="E241" s="52">
        <f t="shared" si="29"/>
        <v>1319</v>
      </c>
      <c r="F241" s="109">
        <f t="shared" si="29"/>
        <v>22</v>
      </c>
      <c r="G241" s="51">
        <f t="shared" si="29"/>
        <v>15</v>
      </c>
      <c r="H241" s="93">
        <f t="shared" si="29"/>
        <v>1107</v>
      </c>
      <c r="I241" s="245">
        <f t="shared" si="29"/>
        <v>27</v>
      </c>
      <c r="J241" s="51">
        <f t="shared" si="29"/>
        <v>10</v>
      </c>
      <c r="K241" s="93">
        <f t="shared" si="29"/>
        <v>845</v>
      </c>
      <c r="L241" s="245">
        <f t="shared" si="29"/>
        <v>38</v>
      </c>
      <c r="M241" s="51">
        <f t="shared" si="29"/>
        <v>0</v>
      </c>
      <c r="N241" s="93">
        <f t="shared" si="29"/>
        <v>14</v>
      </c>
      <c r="O241" s="245">
        <f t="shared" si="29"/>
        <v>43</v>
      </c>
      <c r="P241" s="51">
        <f t="shared" si="29"/>
        <v>0</v>
      </c>
      <c r="Q241" s="93">
        <f t="shared" si="29"/>
        <v>6</v>
      </c>
      <c r="R241" s="245">
        <f t="shared" si="29"/>
        <v>39</v>
      </c>
      <c r="S241" s="51">
        <f t="shared" si="29"/>
        <v>0</v>
      </c>
      <c r="T241" s="93">
        <f t="shared" si="29"/>
        <v>7</v>
      </c>
      <c r="U241" s="245">
        <f t="shared" si="29"/>
        <v>33</v>
      </c>
      <c r="V241" s="51">
        <f t="shared" si="29"/>
        <v>0</v>
      </c>
      <c r="W241" s="93">
        <f t="shared" si="29"/>
        <v>12</v>
      </c>
      <c r="X241" s="245">
        <f t="shared" si="29"/>
        <v>56</v>
      </c>
      <c r="Y241" s="51">
        <f t="shared" si="29"/>
        <v>0</v>
      </c>
      <c r="Z241" s="93">
        <f t="shared" si="29"/>
        <v>11</v>
      </c>
      <c r="AA241" s="245">
        <f t="shared" si="29"/>
        <v>43</v>
      </c>
      <c r="AB241" s="51">
        <f t="shared" si="29"/>
        <v>0</v>
      </c>
      <c r="AC241" s="93">
        <f t="shared" si="29"/>
        <v>9</v>
      </c>
      <c r="AD241" s="245">
        <f t="shared" si="29"/>
        <v>30</v>
      </c>
      <c r="AE241" s="51">
        <f t="shared" si="29"/>
        <v>0</v>
      </c>
      <c r="AF241" s="93">
        <f t="shared" si="29"/>
        <v>7</v>
      </c>
      <c r="AG241" s="245">
        <f t="shared" si="29"/>
        <v>31</v>
      </c>
      <c r="AH241" s="51">
        <f t="shared" si="29"/>
        <v>0</v>
      </c>
      <c r="AI241" s="93">
        <f t="shared" si="29"/>
        <v>9</v>
      </c>
      <c r="AJ241" s="245">
        <f t="shared" si="29"/>
        <v>18</v>
      </c>
      <c r="AK241" s="51">
        <f t="shared" si="29"/>
        <v>0</v>
      </c>
      <c r="AL241" s="93">
        <f t="shared" si="29"/>
        <v>11</v>
      </c>
    </row>
    <row r="242" s="47" customFormat="1" ht="12.75"/>
    <row r="243" s="47" customFormat="1" ht="12.75"/>
    <row r="244" s="47" customFormat="1" ht="12.75">
      <c r="B244" s="47" t="s">
        <v>420</v>
      </c>
    </row>
    <row r="245" spans="2:5" s="47" customFormat="1" ht="12.75">
      <c r="B245" s="47" t="s">
        <v>421</v>
      </c>
      <c r="C245" s="102"/>
      <c r="D245" s="102"/>
      <c r="E245" s="102"/>
    </row>
    <row r="246" s="47" customFormat="1" ht="12.75"/>
    <row r="247" spans="2:5" s="47" customFormat="1" ht="12.75">
      <c r="B247" s="383" t="s">
        <v>14</v>
      </c>
      <c r="C247" s="383"/>
      <c r="D247" s="383"/>
      <c r="E247" s="383"/>
    </row>
    <row r="248" spans="2:5" s="47" customFormat="1" ht="12.75">
      <c r="B248" s="60"/>
      <c r="C248" s="60"/>
      <c r="D248" s="60"/>
      <c r="E248" s="60"/>
    </row>
    <row r="249" spans="2:5" s="47" customFormat="1" ht="12.75">
      <c r="B249" s="383" t="s">
        <v>41</v>
      </c>
      <c r="C249" s="383"/>
      <c r="D249" s="383"/>
      <c r="E249" s="383"/>
    </row>
    <row r="250" spans="2:5" s="47" customFormat="1" ht="12.75">
      <c r="B250" s="60"/>
      <c r="C250" s="60"/>
      <c r="D250" s="60"/>
      <c r="E250" s="60"/>
    </row>
    <row r="251" spans="2:5" s="47" customFormat="1" ht="12.75">
      <c r="B251" s="383" t="s">
        <v>86</v>
      </c>
      <c r="C251" s="383"/>
      <c r="D251" s="383"/>
      <c r="E251" s="383"/>
    </row>
    <row r="252" spans="2:5" s="47" customFormat="1" ht="12.75">
      <c r="B252" s="60"/>
      <c r="C252" s="60"/>
      <c r="D252" s="60"/>
      <c r="E252" s="60"/>
    </row>
    <row r="253" spans="2:5" s="47" customFormat="1" ht="12.75">
      <c r="B253" s="383">
        <v>2016</v>
      </c>
      <c r="C253" s="383"/>
      <c r="D253" s="383"/>
      <c r="E253" s="383"/>
    </row>
    <row r="254" spans="2:5" s="47" customFormat="1" ht="13.5" thickBot="1">
      <c r="B254" s="4"/>
      <c r="C254" s="4"/>
      <c r="D254" s="4"/>
      <c r="E254" s="4"/>
    </row>
    <row r="255" spans="2:38" s="47" customFormat="1" ht="13.5" customHeight="1" thickBot="1">
      <c r="B255" s="377" t="s">
        <v>394</v>
      </c>
      <c r="C255" s="374" t="s">
        <v>7</v>
      </c>
      <c r="D255" s="375"/>
      <c r="E255" s="376"/>
      <c r="F255" s="374" t="s">
        <v>433</v>
      </c>
      <c r="G255" s="375"/>
      <c r="H255" s="376"/>
      <c r="I255" s="374" t="s">
        <v>434</v>
      </c>
      <c r="J255" s="375"/>
      <c r="K255" s="376"/>
      <c r="L255" s="374" t="s">
        <v>435</v>
      </c>
      <c r="M255" s="375"/>
      <c r="N255" s="376"/>
      <c r="O255" s="374" t="s">
        <v>436</v>
      </c>
      <c r="P255" s="375"/>
      <c r="Q255" s="376"/>
      <c r="R255" s="374" t="s">
        <v>437</v>
      </c>
      <c r="S255" s="375"/>
      <c r="T255" s="376"/>
      <c r="U255" s="374" t="s">
        <v>438</v>
      </c>
      <c r="V255" s="375"/>
      <c r="W255" s="376"/>
      <c r="X255" s="374" t="s">
        <v>439</v>
      </c>
      <c r="Y255" s="375"/>
      <c r="Z255" s="376"/>
      <c r="AA255" s="374" t="s">
        <v>440</v>
      </c>
      <c r="AB255" s="375"/>
      <c r="AC255" s="376"/>
      <c r="AD255" s="374" t="s">
        <v>441</v>
      </c>
      <c r="AE255" s="375"/>
      <c r="AF255" s="376"/>
      <c r="AG255" s="374" t="s">
        <v>442</v>
      </c>
      <c r="AH255" s="375"/>
      <c r="AI255" s="376"/>
      <c r="AJ255" s="374" t="s">
        <v>443</v>
      </c>
      <c r="AK255" s="375"/>
      <c r="AL255" s="376"/>
    </row>
    <row r="256" spans="2:38" s="47" customFormat="1" ht="12.75" customHeight="1">
      <c r="B256" s="378"/>
      <c r="C256" s="367" t="s">
        <v>66</v>
      </c>
      <c r="D256" s="370" t="s">
        <v>67</v>
      </c>
      <c r="E256" s="371"/>
      <c r="F256" s="367" t="s">
        <v>66</v>
      </c>
      <c r="G256" s="370" t="s">
        <v>67</v>
      </c>
      <c r="H256" s="371"/>
      <c r="I256" s="367" t="s">
        <v>66</v>
      </c>
      <c r="J256" s="370" t="s">
        <v>67</v>
      </c>
      <c r="K256" s="371"/>
      <c r="L256" s="367" t="s">
        <v>66</v>
      </c>
      <c r="M256" s="370" t="s">
        <v>67</v>
      </c>
      <c r="N256" s="371"/>
      <c r="O256" s="367" t="s">
        <v>66</v>
      </c>
      <c r="P256" s="370" t="s">
        <v>67</v>
      </c>
      <c r="Q256" s="371"/>
      <c r="R256" s="367" t="s">
        <v>66</v>
      </c>
      <c r="S256" s="370" t="s">
        <v>67</v>
      </c>
      <c r="T256" s="371"/>
      <c r="U256" s="367" t="s">
        <v>66</v>
      </c>
      <c r="V256" s="370" t="s">
        <v>67</v>
      </c>
      <c r="W256" s="371"/>
      <c r="X256" s="367" t="s">
        <v>66</v>
      </c>
      <c r="Y256" s="370" t="s">
        <v>67</v>
      </c>
      <c r="Z256" s="371"/>
      <c r="AA256" s="367" t="s">
        <v>66</v>
      </c>
      <c r="AB256" s="370" t="s">
        <v>67</v>
      </c>
      <c r="AC256" s="371"/>
      <c r="AD256" s="367" t="s">
        <v>66</v>
      </c>
      <c r="AE256" s="370" t="s">
        <v>67</v>
      </c>
      <c r="AF256" s="371"/>
      <c r="AG256" s="367" t="s">
        <v>66</v>
      </c>
      <c r="AH256" s="370" t="s">
        <v>67</v>
      </c>
      <c r="AI256" s="371"/>
      <c r="AJ256" s="367" t="s">
        <v>66</v>
      </c>
      <c r="AK256" s="370" t="s">
        <v>67</v>
      </c>
      <c r="AL256" s="371"/>
    </row>
    <row r="257" spans="2:38" s="47" customFormat="1" ht="13.5" thickBot="1">
      <c r="B257" s="379"/>
      <c r="C257" s="368"/>
      <c r="D257" s="372"/>
      <c r="E257" s="373"/>
      <c r="F257" s="368"/>
      <c r="G257" s="372"/>
      <c r="H257" s="373"/>
      <c r="I257" s="368"/>
      <c r="J257" s="372"/>
      <c r="K257" s="373"/>
      <c r="L257" s="368"/>
      <c r="M257" s="372"/>
      <c r="N257" s="373"/>
      <c r="O257" s="368"/>
      <c r="P257" s="372"/>
      <c r="Q257" s="373"/>
      <c r="R257" s="368"/>
      <c r="S257" s="372"/>
      <c r="T257" s="373"/>
      <c r="U257" s="368"/>
      <c r="V257" s="372"/>
      <c r="W257" s="373"/>
      <c r="X257" s="368"/>
      <c r="Y257" s="372"/>
      <c r="Z257" s="373"/>
      <c r="AA257" s="368"/>
      <c r="AB257" s="372"/>
      <c r="AC257" s="373"/>
      <c r="AD257" s="368"/>
      <c r="AE257" s="372"/>
      <c r="AF257" s="373"/>
      <c r="AG257" s="368"/>
      <c r="AH257" s="372"/>
      <c r="AI257" s="373"/>
      <c r="AJ257" s="368"/>
      <c r="AK257" s="372"/>
      <c r="AL257" s="373"/>
    </row>
    <row r="258" spans="2:38" s="47" customFormat="1" ht="26.25" thickBot="1">
      <c r="B258" s="380"/>
      <c r="C258" s="96" t="s">
        <v>68</v>
      </c>
      <c r="D258" s="97" t="s">
        <v>69</v>
      </c>
      <c r="E258" s="98" t="s">
        <v>70</v>
      </c>
      <c r="F258" s="96" t="s">
        <v>68</v>
      </c>
      <c r="G258" s="97" t="s">
        <v>69</v>
      </c>
      <c r="H258" s="98" t="s">
        <v>70</v>
      </c>
      <c r="I258" s="96" t="s">
        <v>68</v>
      </c>
      <c r="J258" s="97" t="s">
        <v>69</v>
      </c>
      <c r="K258" s="98" t="s">
        <v>70</v>
      </c>
      <c r="L258" s="96" t="s">
        <v>68</v>
      </c>
      <c r="M258" s="97" t="s">
        <v>69</v>
      </c>
      <c r="N258" s="98" t="s">
        <v>70</v>
      </c>
      <c r="O258" s="96" t="s">
        <v>68</v>
      </c>
      <c r="P258" s="97" t="s">
        <v>69</v>
      </c>
      <c r="Q258" s="98" t="s">
        <v>70</v>
      </c>
      <c r="R258" s="96" t="s">
        <v>68</v>
      </c>
      <c r="S258" s="97" t="s">
        <v>69</v>
      </c>
      <c r="T258" s="98" t="s">
        <v>70</v>
      </c>
      <c r="U258" s="96" t="s">
        <v>68</v>
      </c>
      <c r="V258" s="97" t="s">
        <v>69</v>
      </c>
      <c r="W258" s="98" t="s">
        <v>70</v>
      </c>
      <c r="X258" s="96" t="s">
        <v>68</v>
      </c>
      <c r="Y258" s="97" t="s">
        <v>69</v>
      </c>
      <c r="Z258" s="98" t="s">
        <v>70</v>
      </c>
      <c r="AA258" s="96" t="s">
        <v>68</v>
      </c>
      <c r="AB258" s="97" t="s">
        <v>69</v>
      </c>
      <c r="AC258" s="98" t="s">
        <v>70</v>
      </c>
      <c r="AD258" s="96" t="s">
        <v>68</v>
      </c>
      <c r="AE258" s="97" t="s">
        <v>69</v>
      </c>
      <c r="AF258" s="98" t="s">
        <v>70</v>
      </c>
      <c r="AG258" s="96" t="s">
        <v>68</v>
      </c>
      <c r="AH258" s="97" t="s">
        <v>69</v>
      </c>
      <c r="AI258" s="98" t="s">
        <v>70</v>
      </c>
      <c r="AJ258" s="96" t="s">
        <v>68</v>
      </c>
      <c r="AK258" s="97" t="s">
        <v>69</v>
      </c>
      <c r="AL258" s="98" t="s">
        <v>70</v>
      </c>
    </row>
    <row r="259" spans="2:38" s="47" customFormat="1" ht="12.75">
      <c r="B259" s="9" t="s">
        <v>213</v>
      </c>
      <c r="C259" s="103">
        <v>6</v>
      </c>
      <c r="D259" s="104">
        <v>4</v>
      </c>
      <c r="E259" s="105">
        <v>165</v>
      </c>
      <c r="F259" s="103">
        <v>3</v>
      </c>
      <c r="G259" s="104">
        <v>1</v>
      </c>
      <c r="H259" s="105">
        <v>160</v>
      </c>
      <c r="I259" s="103">
        <v>3</v>
      </c>
      <c r="J259" s="104">
        <v>2</v>
      </c>
      <c r="K259" s="105">
        <v>133</v>
      </c>
      <c r="L259" s="103">
        <v>5</v>
      </c>
      <c r="M259" s="104">
        <v>0</v>
      </c>
      <c r="N259" s="105">
        <v>123</v>
      </c>
      <c r="O259" s="103">
        <v>2</v>
      </c>
      <c r="P259" s="104">
        <v>0</v>
      </c>
      <c r="Q259" s="105">
        <v>154</v>
      </c>
      <c r="R259" s="103">
        <v>0</v>
      </c>
      <c r="S259" s="104">
        <v>0</v>
      </c>
      <c r="T259" s="105">
        <v>145</v>
      </c>
      <c r="U259" s="103">
        <v>7</v>
      </c>
      <c r="V259" s="104">
        <v>0</v>
      </c>
      <c r="W259" s="105">
        <v>135</v>
      </c>
      <c r="X259" s="103">
        <v>13</v>
      </c>
      <c r="Y259" s="104">
        <v>0</v>
      </c>
      <c r="Z259" s="105">
        <v>109</v>
      </c>
      <c r="AA259" s="103">
        <v>3</v>
      </c>
      <c r="AB259" s="104">
        <v>0</v>
      </c>
      <c r="AC259" s="105">
        <v>125</v>
      </c>
      <c r="AD259" s="103">
        <v>6</v>
      </c>
      <c r="AE259" s="104">
        <v>0</v>
      </c>
      <c r="AF259" s="105">
        <v>104</v>
      </c>
      <c r="AG259" s="103">
        <v>9</v>
      </c>
      <c r="AH259" s="104">
        <v>0</v>
      </c>
      <c r="AI259" s="105">
        <v>117</v>
      </c>
      <c r="AJ259" s="103">
        <v>1</v>
      </c>
      <c r="AK259" s="104">
        <v>0</v>
      </c>
      <c r="AL259" s="105">
        <v>76</v>
      </c>
    </row>
    <row r="260" spans="2:38" s="47" customFormat="1" ht="12.75">
      <c r="B260" s="10" t="s">
        <v>214</v>
      </c>
      <c r="C260" s="106">
        <v>0</v>
      </c>
      <c r="D260" s="107">
        <v>0</v>
      </c>
      <c r="E260" s="108">
        <v>17</v>
      </c>
      <c r="F260" s="106">
        <v>0</v>
      </c>
      <c r="G260" s="107">
        <v>1</v>
      </c>
      <c r="H260" s="108">
        <v>10</v>
      </c>
      <c r="I260" s="106">
        <v>0</v>
      </c>
      <c r="J260" s="107">
        <v>0</v>
      </c>
      <c r="K260" s="108">
        <v>12</v>
      </c>
      <c r="L260" s="106">
        <v>0</v>
      </c>
      <c r="M260" s="107">
        <v>0</v>
      </c>
      <c r="N260" s="108">
        <v>0</v>
      </c>
      <c r="O260" s="106">
        <v>0</v>
      </c>
      <c r="P260" s="107">
        <v>0</v>
      </c>
      <c r="Q260" s="108">
        <v>0</v>
      </c>
      <c r="R260" s="106">
        <v>2</v>
      </c>
      <c r="S260" s="107">
        <v>0</v>
      </c>
      <c r="T260" s="108">
        <v>0</v>
      </c>
      <c r="U260" s="106">
        <v>0</v>
      </c>
      <c r="V260" s="107">
        <v>0</v>
      </c>
      <c r="W260" s="108">
        <v>0</v>
      </c>
      <c r="X260" s="106">
        <v>2</v>
      </c>
      <c r="Y260" s="107">
        <v>0</v>
      </c>
      <c r="Z260" s="108">
        <v>0</v>
      </c>
      <c r="AA260" s="106">
        <v>0</v>
      </c>
      <c r="AB260" s="107">
        <v>0</v>
      </c>
      <c r="AC260" s="108">
        <v>0</v>
      </c>
      <c r="AD260" s="106">
        <v>0</v>
      </c>
      <c r="AE260" s="107">
        <v>0</v>
      </c>
      <c r="AF260" s="108">
        <v>0</v>
      </c>
      <c r="AG260" s="106">
        <v>2</v>
      </c>
      <c r="AH260" s="107">
        <v>0</v>
      </c>
      <c r="AI260" s="108">
        <v>0</v>
      </c>
      <c r="AJ260" s="106">
        <v>0</v>
      </c>
      <c r="AK260" s="107">
        <v>0</v>
      </c>
      <c r="AL260" s="108">
        <v>0</v>
      </c>
    </row>
    <row r="261" spans="2:38" s="47" customFormat="1" ht="12.75">
      <c r="B261" s="8" t="s">
        <v>215</v>
      </c>
      <c r="C261" s="95">
        <v>5</v>
      </c>
      <c r="D261" s="85">
        <v>2</v>
      </c>
      <c r="E261" s="86">
        <v>54</v>
      </c>
      <c r="F261" s="95">
        <v>2</v>
      </c>
      <c r="G261" s="85">
        <v>2</v>
      </c>
      <c r="H261" s="86">
        <v>40</v>
      </c>
      <c r="I261" s="95">
        <v>6</v>
      </c>
      <c r="J261" s="85">
        <v>3</v>
      </c>
      <c r="K261" s="86">
        <v>41</v>
      </c>
      <c r="L261" s="95">
        <v>1</v>
      </c>
      <c r="M261" s="85">
        <v>0</v>
      </c>
      <c r="N261" s="86">
        <v>0</v>
      </c>
      <c r="O261" s="95">
        <v>7</v>
      </c>
      <c r="P261" s="85">
        <v>0</v>
      </c>
      <c r="Q261" s="86">
        <v>0</v>
      </c>
      <c r="R261" s="95">
        <v>3</v>
      </c>
      <c r="S261" s="85">
        <v>0</v>
      </c>
      <c r="T261" s="86">
        <v>0</v>
      </c>
      <c r="U261" s="95">
        <v>2</v>
      </c>
      <c r="V261" s="85">
        <v>0</v>
      </c>
      <c r="W261" s="86">
        <v>0</v>
      </c>
      <c r="X261" s="95">
        <v>4</v>
      </c>
      <c r="Y261" s="85">
        <v>0</v>
      </c>
      <c r="Z261" s="86">
        <v>0</v>
      </c>
      <c r="AA261" s="95">
        <v>1</v>
      </c>
      <c r="AB261" s="85">
        <v>0</v>
      </c>
      <c r="AC261" s="86">
        <v>0</v>
      </c>
      <c r="AD261" s="95">
        <v>1</v>
      </c>
      <c r="AE261" s="85">
        <v>0</v>
      </c>
      <c r="AF261" s="86">
        <v>0</v>
      </c>
      <c r="AG261" s="95">
        <v>4</v>
      </c>
      <c r="AH261" s="85">
        <v>0</v>
      </c>
      <c r="AI261" s="86">
        <v>0</v>
      </c>
      <c r="AJ261" s="95">
        <v>5</v>
      </c>
      <c r="AK261" s="85">
        <v>0</v>
      </c>
      <c r="AL261" s="86">
        <v>0</v>
      </c>
    </row>
    <row r="262" spans="2:38" s="47" customFormat="1" ht="12.75">
      <c r="B262" s="6" t="s">
        <v>216</v>
      </c>
      <c r="C262" s="58">
        <v>0</v>
      </c>
      <c r="D262" s="55">
        <v>0</v>
      </c>
      <c r="E262" s="59">
        <v>7</v>
      </c>
      <c r="F262" s="58">
        <v>1</v>
      </c>
      <c r="G262" s="55">
        <v>1</v>
      </c>
      <c r="H262" s="59">
        <v>4</v>
      </c>
      <c r="I262" s="58">
        <v>1</v>
      </c>
      <c r="J262" s="55">
        <v>1</v>
      </c>
      <c r="K262" s="59">
        <v>2</v>
      </c>
      <c r="L262" s="58">
        <v>2</v>
      </c>
      <c r="M262" s="55">
        <v>0</v>
      </c>
      <c r="N262" s="59">
        <v>0</v>
      </c>
      <c r="O262" s="58">
        <v>1</v>
      </c>
      <c r="P262" s="55">
        <v>0</v>
      </c>
      <c r="Q262" s="59">
        <v>0</v>
      </c>
      <c r="R262" s="58">
        <v>0</v>
      </c>
      <c r="S262" s="55">
        <v>0</v>
      </c>
      <c r="T262" s="59">
        <v>0</v>
      </c>
      <c r="U262" s="58">
        <v>1</v>
      </c>
      <c r="V262" s="55">
        <v>0</v>
      </c>
      <c r="W262" s="59">
        <v>0</v>
      </c>
      <c r="X262" s="58">
        <v>1</v>
      </c>
      <c r="Y262" s="55">
        <v>0</v>
      </c>
      <c r="Z262" s="59">
        <v>0</v>
      </c>
      <c r="AA262" s="58">
        <v>4</v>
      </c>
      <c r="AB262" s="55">
        <v>0</v>
      </c>
      <c r="AC262" s="59">
        <v>0</v>
      </c>
      <c r="AD262" s="58">
        <v>1</v>
      </c>
      <c r="AE262" s="55">
        <v>0</v>
      </c>
      <c r="AF262" s="59">
        <v>0</v>
      </c>
      <c r="AG262" s="58">
        <v>1</v>
      </c>
      <c r="AH262" s="55">
        <v>0</v>
      </c>
      <c r="AI262" s="59">
        <v>0</v>
      </c>
      <c r="AJ262" s="58">
        <v>0</v>
      </c>
      <c r="AK262" s="55">
        <v>0</v>
      </c>
      <c r="AL262" s="59">
        <v>0</v>
      </c>
    </row>
    <row r="263" spans="2:38" s="47" customFormat="1" ht="12.75">
      <c r="B263" s="6" t="s">
        <v>217</v>
      </c>
      <c r="C263" s="58">
        <v>0</v>
      </c>
      <c r="D263" s="55">
        <v>0</v>
      </c>
      <c r="E263" s="59">
        <v>287</v>
      </c>
      <c r="F263" s="58">
        <v>6</v>
      </c>
      <c r="G263" s="55">
        <v>3</v>
      </c>
      <c r="H263" s="59">
        <v>263</v>
      </c>
      <c r="I263" s="58">
        <v>5</v>
      </c>
      <c r="J263" s="55">
        <v>2</v>
      </c>
      <c r="K263" s="59">
        <v>152</v>
      </c>
      <c r="L263" s="58">
        <v>3</v>
      </c>
      <c r="M263" s="55">
        <v>0</v>
      </c>
      <c r="N263" s="59">
        <v>0</v>
      </c>
      <c r="O263" s="58">
        <v>1</v>
      </c>
      <c r="P263" s="55">
        <v>0</v>
      </c>
      <c r="Q263" s="59">
        <v>0</v>
      </c>
      <c r="R263" s="58">
        <v>3</v>
      </c>
      <c r="S263" s="55">
        <v>0</v>
      </c>
      <c r="T263" s="59">
        <v>0</v>
      </c>
      <c r="U263" s="58">
        <v>9</v>
      </c>
      <c r="V263" s="55">
        <v>0</v>
      </c>
      <c r="W263" s="59">
        <v>0</v>
      </c>
      <c r="X263" s="58">
        <v>6</v>
      </c>
      <c r="Y263" s="55">
        <v>0</v>
      </c>
      <c r="Z263" s="59">
        <v>0</v>
      </c>
      <c r="AA263" s="58">
        <v>8</v>
      </c>
      <c r="AB263" s="55">
        <v>0</v>
      </c>
      <c r="AC263" s="59">
        <v>0</v>
      </c>
      <c r="AD263" s="58">
        <v>2</v>
      </c>
      <c r="AE263" s="55">
        <v>0</v>
      </c>
      <c r="AF263" s="59">
        <v>0</v>
      </c>
      <c r="AG263" s="58">
        <v>2</v>
      </c>
      <c r="AH263" s="55">
        <v>0</v>
      </c>
      <c r="AI263" s="59">
        <v>0</v>
      </c>
      <c r="AJ263" s="58">
        <v>2</v>
      </c>
      <c r="AK263" s="55">
        <v>0</v>
      </c>
      <c r="AL263" s="59">
        <v>0</v>
      </c>
    </row>
    <row r="264" spans="2:38" s="47" customFormat="1" ht="12.75">
      <c r="B264" s="6" t="s">
        <v>218</v>
      </c>
      <c r="C264" s="58">
        <v>0</v>
      </c>
      <c r="D264" s="55">
        <v>0</v>
      </c>
      <c r="E264" s="59">
        <v>160</v>
      </c>
      <c r="F264" s="58">
        <v>0</v>
      </c>
      <c r="G264" s="55">
        <v>0</v>
      </c>
      <c r="H264" s="59">
        <v>22</v>
      </c>
      <c r="I264" s="58">
        <v>1</v>
      </c>
      <c r="J264" s="55">
        <v>1</v>
      </c>
      <c r="K264" s="59">
        <v>74</v>
      </c>
      <c r="L264" s="58">
        <v>1</v>
      </c>
      <c r="M264" s="55">
        <v>0</v>
      </c>
      <c r="N264" s="59">
        <v>45</v>
      </c>
      <c r="O264" s="58">
        <v>2</v>
      </c>
      <c r="P264" s="55">
        <v>0</v>
      </c>
      <c r="Q264" s="59">
        <v>113</v>
      </c>
      <c r="R264" s="58">
        <v>0</v>
      </c>
      <c r="S264" s="55">
        <v>0</v>
      </c>
      <c r="T264" s="59">
        <v>75</v>
      </c>
      <c r="U264" s="58">
        <v>0</v>
      </c>
      <c r="V264" s="55">
        <v>0</v>
      </c>
      <c r="W264" s="59">
        <v>64</v>
      </c>
      <c r="X264" s="58">
        <v>0</v>
      </c>
      <c r="Y264" s="55">
        <v>0</v>
      </c>
      <c r="Z264" s="59">
        <v>51</v>
      </c>
      <c r="AA264" s="58">
        <v>1</v>
      </c>
      <c r="AB264" s="55">
        <v>0</v>
      </c>
      <c r="AC264" s="59">
        <v>43</v>
      </c>
      <c r="AD264" s="58">
        <v>0</v>
      </c>
      <c r="AE264" s="55">
        <v>0</v>
      </c>
      <c r="AF264" s="59">
        <v>58</v>
      </c>
      <c r="AG264" s="58">
        <v>0</v>
      </c>
      <c r="AH264" s="55">
        <v>0</v>
      </c>
      <c r="AI264" s="59">
        <v>57</v>
      </c>
      <c r="AJ264" s="58">
        <v>0</v>
      </c>
      <c r="AK264" s="55">
        <v>0</v>
      </c>
      <c r="AL264" s="59">
        <v>43</v>
      </c>
    </row>
    <row r="265" spans="2:38" s="47" customFormat="1" ht="12.75">
      <c r="B265" s="6" t="s">
        <v>397</v>
      </c>
      <c r="C265" s="58">
        <v>2</v>
      </c>
      <c r="D265" s="55">
        <v>1</v>
      </c>
      <c r="E265" s="59">
        <v>41</v>
      </c>
      <c r="F265" s="58">
        <v>2</v>
      </c>
      <c r="G265" s="55">
        <v>2</v>
      </c>
      <c r="H265" s="59">
        <v>50</v>
      </c>
      <c r="I265" s="58">
        <v>1</v>
      </c>
      <c r="J265" s="55">
        <v>0</v>
      </c>
      <c r="K265" s="59">
        <v>31</v>
      </c>
      <c r="L265" s="58">
        <v>0</v>
      </c>
      <c r="M265" s="55">
        <v>0</v>
      </c>
      <c r="N265" s="59">
        <v>0</v>
      </c>
      <c r="O265" s="58">
        <v>1</v>
      </c>
      <c r="P265" s="55">
        <v>0</v>
      </c>
      <c r="Q265" s="59">
        <v>0</v>
      </c>
      <c r="R265" s="58">
        <v>2</v>
      </c>
      <c r="S265" s="55">
        <v>0</v>
      </c>
      <c r="T265" s="59">
        <v>0</v>
      </c>
      <c r="U265" s="58">
        <v>1</v>
      </c>
      <c r="V265" s="55">
        <v>0</v>
      </c>
      <c r="W265" s="59">
        <v>0</v>
      </c>
      <c r="X265" s="58">
        <v>1</v>
      </c>
      <c r="Y265" s="55">
        <v>0</v>
      </c>
      <c r="Z265" s="59">
        <v>0</v>
      </c>
      <c r="AA265" s="58">
        <v>5</v>
      </c>
      <c r="AB265" s="55">
        <v>0</v>
      </c>
      <c r="AC265" s="59">
        <v>0</v>
      </c>
      <c r="AD265" s="58">
        <v>1</v>
      </c>
      <c r="AE265" s="55">
        <v>0</v>
      </c>
      <c r="AF265" s="59">
        <v>0</v>
      </c>
      <c r="AG265" s="58">
        <v>2</v>
      </c>
      <c r="AH265" s="55">
        <v>0</v>
      </c>
      <c r="AI265" s="59">
        <v>0</v>
      </c>
      <c r="AJ265" s="58">
        <v>3</v>
      </c>
      <c r="AK265" s="55">
        <v>0</v>
      </c>
      <c r="AL265" s="59">
        <v>0</v>
      </c>
    </row>
    <row r="266" spans="2:38" s="47" customFormat="1" ht="12.75">
      <c r="B266" s="6" t="s">
        <v>219</v>
      </c>
      <c r="C266" s="58">
        <v>1</v>
      </c>
      <c r="D266" s="55">
        <v>1</v>
      </c>
      <c r="E266" s="59">
        <v>69</v>
      </c>
      <c r="F266" s="58">
        <v>1</v>
      </c>
      <c r="G266" s="55">
        <v>1</v>
      </c>
      <c r="H266" s="59">
        <v>62</v>
      </c>
      <c r="I266" s="58">
        <v>2</v>
      </c>
      <c r="J266" s="55">
        <v>1</v>
      </c>
      <c r="K266" s="59">
        <v>54</v>
      </c>
      <c r="L266" s="58">
        <v>1</v>
      </c>
      <c r="M266" s="55">
        <v>0</v>
      </c>
      <c r="N266" s="59">
        <v>0</v>
      </c>
      <c r="O266" s="58">
        <v>1</v>
      </c>
      <c r="P266" s="55">
        <v>0</v>
      </c>
      <c r="Q266" s="59">
        <v>0</v>
      </c>
      <c r="R266" s="58">
        <v>1</v>
      </c>
      <c r="S266" s="55">
        <v>0</v>
      </c>
      <c r="T266" s="59">
        <v>0</v>
      </c>
      <c r="U266" s="58">
        <v>3</v>
      </c>
      <c r="V266" s="55">
        <v>0</v>
      </c>
      <c r="W266" s="59">
        <v>0</v>
      </c>
      <c r="X266" s="58">
        <v>0</v>
      </c>
      <c r="Y266" s="55">
        <v>0</v>
      </c>
      <c r="Z266" s="59">
        <v>0</v>
      </c>
      <c r="AA266" s="58">
        <v>3</v>
      </c>
      <c r="AB266" s="55">
        <v>0</v>
      </c>
      <c r="AC266" s="59">
        <v>0</v>
      </c>
      <c r="AD266" s="58">
        <v>2</v>
      </c>
      <c r="AE266" s="55">
        <v>0</v>
      </c>
      <c r="AF266" s="59">
        <v>0</v>
      </c>
      <c r="AG266" s="58">
        <v>1</v>
      </c>
      <c r="AH266" s="55">
        <v>0</v>
      </c>
      <c r="AI266" s="59">
        <v>0</v>
      </c>
      <c r="AJ266" s="58">
        <v>0</v>
      </c>
      <c r="AK266" s="55">
        <v>0</v>
      </c>
      <c r="AL266" s="59">
        <v>0</v>
      </c>
    </row>
    <row r="267" spans="2:38" s="47" customFormat="1" ht="12.75">
      <c r="B267" s="6" t="s">
        <v>479</v>
      </c>
      <c r="C267" s="58">
        <v>3</v>
      </c>
      <c r="D267" s="55">
        <v>3</v>
      </c>
      <c r="E267" s="59">
        <v>74</v>
      </c>
      <c r="F267" s="58">
        <v>3</v>
      </c>
      <c r="G267" s="55">
        <v>0</v>
      </c>
      <c r="H267" s="59">
        <v>6</v>
      </c>
      <c r="I267" s="58">
        <v>0</v>
      </c>
      <c r="J267" s="55">
        <v>0</v>
      </c>
      <c r="K267" s="59">
        <v>0</v>
      </c>
      <c r="L267" s="58">
        <v>0</v>
      </c>
      <c r="M267" s="55">
        <v>0</v>
      </c>
      <c r="N267" s="59">
        <v>0</v>
      </c>
      <c r="O267" s="58">
        <v>1</v>
      </c>
      <c r="P267" s="55">
        <v>0</v>
      </c>
      <c r="Q267" s="59">
        <v>0</v>
      </c>
      <c r="R267" s="58">
        <v>1</v>
      </c>
      <c r="S267" s="55">
        <v>0</v>
      </c>
      <c r="T267" s="59">
        <v>0</v>
      </c>
      <c r="U267" s="58">
        <v>3</v>
      </c>
      <c r="V267" s="55">
        <v>0</v>
      </c>
      <c r="W267" s="59">
        <v>0</v>
      </c>
      <c r="X267" s="58">
        <v>2</v>
      </c>
      <c r="Y267" s="55">
        <v>0</v>
      </c>
      <c r="Z267" s="59">
        <v>0</v>
      </c>
      <c r="AA267" s="58">
        <v>1</v>
      </c>
      <c r="AB267" s="55">
        <v>0</v>
      </c>
      <c r="AC267" s="59">
        <v>0</v>
      </c>
      <c r="AD267" s="58">
        <v>2</v>
      </c>
      <c r="AE267" s="55">
        <v>0</v>
      </c>
      <c r="AF267" s="59">
        <v>0</v>
      </c>
      <c r="AG267" s="58">
        <v>0</v>
      </c>
      <c r="AH267" s="55">
        <v>0</v>
      </c>
      <c r="AI267" s="59">
        <v>0</v>
      </c>
      <c r="AJ267" s="58">
        <v>0</v>
      </c>
      <c r="AK267" s="55">
        <v>0</v>
      </c>
      <c r="AL267" s="59">
        <v>0</v>
      </c>
    </row>
    <row r="268" spans="2:38" s="47" customFormat="1" ht="12.75">
      <c r="B268" s="6" t="s">
        <v>221</v>
      </c>
      <c r="C268" s="58">
        <v>1</v>
      </c>
      <c r="D268" s="55">
        <v>1</v>
      </c>
      <c r="E268" s="59">
        <v>4</v>
      </c>
      <c r="F268" s="58">
        <v>0</v>
      </c>
      <c r="G268" s="55">
        <v>0</v>
      </c>
      <c r="H268" s="59">
        <v>7</v>
      </c>
      <c r="I268" s="58">
        <v>0</v>
      </c>
      <c r="J268" s="55">
        <v>0</v>
      </c>
      <c r="K268" s="59">
        <v>13</v>
      </c>
      <c r="L268" s="58">
        <v>0</v>
      </c>
      <c r="M268" s="55">
        <v>0</v>
      </c>
      <c r="N268" s="59">
        <v>0</v>
      </c>
      <c r="O268" s="58">
        <v>0</v>
      </c>
      <c r="P268" s="55">
        <v>0</v>
      </c>
      <c r="Q268" s="59">
        <v>0</v>
      </c>
      <c r="R268" s="58">
        <v>0</v>
      </c>
      <c r="S268" s="55">
        <v>0</v>
      </c>
      <c r="T268" s="59">
        <v>0</v>
      </c>
      <c r="U268" s="58">
        <v>1</v>
      </c>
      <c r="V268" s="55">
        <v>0</v>
      </c>
      <c r="W268" s="59">
        <v>0</v>
      </c>
      <c r="X268" s="58">
        <v>0</v>
      </c>
      <c r="Y268" s="55">
        <v>0</v>
      </c>
      <c r="Z268" s="59">
        <v>0</v>
      </c>
      <c r="AA268" s="58">
        <v>0</v>
      </c>
      <c r="AB268" s="55">
        <v>0</v>
      </c>
      <c r="AC268" s="59">
        <v>0</v>
      </c>
      <c r="AD268" s="58">
        <v>0</v>
      </c>
      <c r="AE268" s="55">
        <v>0</v>
      </c>
      <c r="AF268" s="59">
        <v>0</v>
      </c>
      <c r="AG268" s="58">
        <v>0</v>
      </c>
      <c r="AH268" s="55">
        <v>0</v>
      </c>
      <c r="AI268" s="59">
        <v>0</v>
      </c>
      <c r="AJ268" s="58">
        <v>0</v>
      </c>
      <c r="AK268" s="55">
        <v>0</v>
      </c>
      <c r="AL268" s="59">
        <v>0</v>
      </c>
    </row>
    <row r="269" spans="2:38" s="47" customFormat="1" ht="12.75">
      <c r="B269" s="6" t="s">
        <v>222</v>
      </c>
      <c r="C269" s="58">
        <v>0</v>
      </c>
      <c r="D269" s="55">
        <v>0</v>
      </c>
      <c r="E269" s="59">
        <v>244</v>
      </c>
      <c r="F269" s="58">
        <v>0</v>
      </c>
      <c r="G269" s="55">
        <v>0</v>
      </c>
      <c r="H269" s="59">
        <v>208</v>
      </c>
      <c r="I269" s="58">
        <v>1</v>
      </c>
      <c r="J269" s="55">
        <v>0</v>
      </c>
      <c r="K269" s="59">
        <v>186</v>
      </c>
      <c r="L269" s="58">
        <v>2</v>
      </c>
      <c r="M269" s="55">
        <v>0</v>
      </c>
      <c r="N269" s="59">
        <v>0</v>
      </c>
      <c r="O269" s="58">
        <v>1</v>
      </c>
      <c r="P269" s="55">
        <v>0</v>
      </c>
      <c r="Q269" s="59">
        <v>0</v>
      </c>
      <c r="R269" s="58">
        <v>0</v>
      </c>
      <c r="S269" s="55">
        <v>0</v>
      </c>
      <c r="T269" s="59">
        <v>0</v>
      </c>
      <c r="U269" s="58">
        <v>1</v>
      </c>
      <c r="V269" s="55">
        <v>0</v>
      </c>
      <c r="W269" s="59">
        <v>0</v>
      </c>
      <c r="X269" s="58">
        <v>0</v>
      </c>
      <c r="Y269" s="55">
        <v>0</v>
      </c>
      <c r="Z269" s="59">
        <v>0</v>
      </c>
      <c r="AA269" s="58">
        <v>1</v>
      </c>
      <c r="AB269" s="55">
        <v>0</v>
      </c>
      <c r="AC269" s="59">
        <v>0</v>
      </c>
      <c r="AD269" s="58">
        <v>1</v>
      </c>
      <c r="AE269" s="55">
        <v>0</v>
      </c>
      <c r="AF269" s="59">
        <v>0</v>
      </c>
      <c r="AG269" s="58">
        <v>0</v>
      </c>
      <c r="AH269" s="55">
        <v>0</v>
      </c>
      <c r="AI269" s="59">
        <v>0</v>
      </c>
      <c r="AJ269" s="58">
        <v>1</v>
      </c>
      <c r="AK269" s="55">
        <v>0</v>
      </c>
      <c r="AL269" s="59">
        <v>0</v>
      </c>
    </row>
    <row r="270" spans="2:38" s="47" customFormat="1" ht="13.5" thickBot="1">
      <c r="B270" s="7" t="s">
        <v>223</v>
      </c>
      <c r="C270" s="81">
        <v>26</v>
      </c>
      <c r="D270" s="70">
        <v>9</v>
      </c>
      <c r="E270" s="67">
        <v>1569</v>
      </c>
      <c r="F270" s="81">
        <v>16</v>
      </c>
      <c r="G270" s="70">
        <v>15</v>
      </c>
      <c r="H270" s="82">
        <v>781</v>
      </c>
      <c r="I270" s="81">
        <v>27</v>
      </c>
      <c r="J270" s="70">
        <v>8</v>
      </c>
      <c r="K270" s="82">
        <v>731</v>
      </c>
      <c r="L270" s="81">
        <v>23</v>
      </c>
      <c r="M270" s="70">
        <v>0</v>
      </c>
      <c r="N270" s="82">
        <v>0</v>
      </c>
      <c r="O270" s="81">
        <v>18</v>
      </c>
      <c r="P270" s="70">
        <v>0</v>
      </c>
      <c r="Q270" s="82">
        <v>0</v>
      </c>
      <c r="R270" s="81">
        <v>23</v>
      </c>
      <c r="S270" s="70">
        <v>0</v>
      </c>
      <c r="T270" s="82">
        <v>0</v>
      </c>
      <c r="U270" s="81">
        <v>19</v>
      </c>
      <c r="V270" s="70">
        <v>0</v>
      </c>
      <c r="W270" s="82">
        <v>0</v>
      </c>
      <c r="X270" s="81">
        <v>25</v>
      </c>
      <c r="Y270" s="70">
        <v>0</v>
      </c>
      <c r="Z270" s="82">
        <v>0</v>
      </c>
      <c r="AA270" s="81">
        <v>14</v>
      </c>
      <c r="AB270" s="70">
        <v>0</v>
      </c>
      <c r="AC270" s="82">
        <v>0</v>
      </c>
      <c r="AD270" s="81">
        <v>19</v>
      </c>
      <c r="AE270" s="70">
        <v>0</v>
      </c>
      <c r="AF270" s="82">
        <v>0</v>
      </c>
      <c r="AG270" s="81">
        <v>14</v>
      </c>
      <c r="AH270" s="70">
        <v>0</v>
      </c>
      <c r="AI270" s="82">
        <v>0</v>
      </c>
      <c r="AJ270" s="81">
        <v>19</v>
      </c>
      <c r="AK270" s="70">
        <v>0</v>
      </c>
      <c r="AL270" s="82">
        <v>0</v>
      </c>
    </row>
    <row r="271" spans="2:38" s="47" customFormat="1" ht="13.5" thickBot="1">
      <c r="B271" s="83" t="s">
        <v>0</v>
      </c>
      <c r="C271" s="44">
        <f aca="true" t="shared" si="30" ref="C271:AL271">SUM(C259:C270)</f>
        <v>44</v>
      </c>
      <c r="D271" s="51">
        <f t="shared" si="30"/>
        <v>21</v>
      </c>
      <c r="E271" s="52">
        <f t="shared" si="30"/>
        <v>2691</v>
      </c>
      <c r="F271" s="109">
        <f t="shared" si="30"/>
        <v>34</v>
      </c>
      <c r="G271" s="51">
        <f t="shared" si="30"/>
        <v>26</v>
      </c>
      <c r="H271" s="93">
        <f t="shared" si="30"/>
        <v>1613</v>
      </c>
      <c r="I271" s="245">
        <f t="shared" si="30"/>
        <v>47</v>
      </c>
      <c r="J271" s="51">
        <f t="shared" si="30"/>
        <v>18</v>
      </c>
      <c r="K271" s="93">
        <f t="shared" si="30"/>
        <v>1429</v>
      </c>
      <c r="L271" s="245">
        <f t="shared" si="30"/>
        <v>38</v>
      </c>
      <c r="M271" s="51">
        <f t="shared" si="30"/>
        <v>0</v>
      </c>
      <c r="N271" s="93">
        <f t="shared" si="30"/>
        <v>168</v>
      </c>
      <c r="O271" s="245">
        <f t="shared" si="30"/>
        <v>35</v>
      </c>
      <c r="P271" s="51">
        <f t="shared" si="30"/>
        <v>0</v>
      </c>
      <c r="Q271" s="93">
        <f t="shared" si="30"/>
        <v>267</v>
      </c>
      <c r="R271" s="245">
        <f t="shared" si="30"/>
        <v>35</v>
      </c>
      <c r="S271" s="51">
        <f t="shared" si="30"/>
        <v>0</v>
      </c>
      <c r="T271" s="93">
        <f t="shared" si="30"/>
        <v>220</v>
      </c>
      <c r="U271" s="245">
        <f t="shared" si="30"/>
        <v>47</v>
      </c>
      <c r="V271" s="51">
        <f t="shared" si="30"/>
        <v>0</v>
      </c>
      <c r="W271" s="93">
        <f t="shared" si="30"/>
        <v>199</v>
      </c>
      <c r="X271" s="245">
        <f t="shared" si="30"/>
        <v>54</v>
      </c>
      <c r="Y271" s="51">
        <f t="shared" si="30"/>
        <v>0</v>
      </c>
      <c r="Z271" s="93">
        <f t="shared" si="30"/>
        <v>160</v>
      </c>
      <c r="AA271" s="245">
        <f t="shared" si="30"/>
        <v>41</v>
      </c>
      <c r="AB271" s="51">
        <f t="shared" si="30"/>
        <v>0</v>
      </c>
      <c r="AC271" s="93">
        <f t="shared" si="30"/>
        <v>168</v>
      </c>
      <c r="AD271" s="245">
        <f t="shared" si="30"/>
        <v>35</v>
      </c>
      <c r="AE271" s="51">
        <f t="shared" si="30"/>
        <v>0</v>
      </c>
      <c r="AF271" s="93">
        <f t="shared" si="30"/>
        <v>162</v>
      </c>
      <c r="AG271" s="245">
        <f t="shared" si="30"/>
        <v>35</v>
      </c>
      <c r="AH271" s="51">
        <f t="shared" si="30"/>
        <v>0</v>
      </c>
      <c r="AI271" s="93">
        <f t="shared" si="30"/>
        <v>174</v>
      </c>
      <c r="AJ271" s="245">
        <f t="shared" si="30"/>
        <v>31</v>
      </c>
      <c r="AK271" s="51">
        <f t="shared" si="30"/>
        <v>0</v>
      </c>
      <c r="AL271" s="93">
        <f t="shared" si="30"/>
        <v>119</v>
      </c>
    </row>
    <row r="272" s="47" customFormat="1" ht="12.75"/>
    <row r="273" spans="2:5" s="47" customFormat="1" ht="12.75">
      <c r="B273" s="369"/>
      <c r="C273" s="369"/>
      <c r="D273" s="369"/>
      <c r="E273" s="369"/>
    </row>
    <row r="274" s="47" customFormat="1" ht="12.75"/>
    <row r="275" spans="2:5" s="47" customFormat="1" ht="12.75">
      <c r="B275" s="383" t="s">
        <v>88</v>
      </c>
      <c r="C275" s="383"/>
      <c r="D275" s="383"/>
      <c r="E275" s="383"/>
    </row>
    <row r="276" spans="2:5" s="47" customFormat="1" ht="12.75">
      <c r="B276" s="60"/>
      <c r="C276" s="60"/>
      <c r="D276" s="60"/>
      <c r="E276" s="60"/>
    </row>
    <row r="277" spans="2:5" s="47" customFormat="1" ht="12.75">
      <c r="B277" s="383" t="s">
        <v>41</v>
      </c>
      <c r="C277" s="383"/>
      <c r="D277" s="383"/>
      <c r="E277" s="383"/>
    </row>
    <row r="278" spans="2:5" s="47" customFormat="1" ht="12.75">
      <c r="B278" s="60"/>
      <c r="C278" s="60"/>
      <c r="D278" s="60"/>
      <c r="E278" s="60"/>
    </row>
    <row r="279" spans="2:5" s="47" customFormat="1" ht="12.75">
      <c r="B279" s="383" t="s">
        <v>86</v>
      </c>
      <c r="C279" s="383"/>
      <c r="D279" s="383"/>
      <c r="E279" s="383"/>
    </row>
    <row r="280" spans="2:5" s="47" customFormat="1" ht="12.75">
      <c r="B280" s="60"/>
      <c r="C280" s="60"/>
      <c r="D280" s="60"/>
      <c r="E280" s="60"/>
    </row>
    <row r="281" spans="2:5" s="47" customFormat="1" ht="12.75">
      <c r="B281" s="383">
        <v>2016</v>
      </c>
      <c r="C281" s="383"/>
      <c r="D281" s="383"/>
      <c r="E281" s="383"/>
    </row>
    <row r="282" spans="2:5" s="47" customFormat="1" ht="13.5" thickBot="1">
      <c r="B282" s="4"/>
      <c r="C282" s="4"/>
      <c r="D282" s="4"/>
      <c r="E282" s="4"/>
    </row>
    <row r="283" spans="2:38" s="47" customFormat="1" ht="13.5" customHeight="1" thickBot="1">
      <c r="B283" s="377" t="s">
        <v>394</v>
      </c>
      <c r="C283" s="374" t="s">
        <v>7</v>
      </c>
      <c r="D283" s="375"/>
      <c r="E283" s="376"/>
      <c r="F283" s="374" t="s">
        <v>433</v>
      </c>
      <c r="G283" s="375"/>
      <c r="H283" s="376"/>
      <c r="I283" s="374" t="s">
        <v>434</v>
      </c>
      <c r="J283" s="375"/>
      <c r="K283" s="376"/>
      <c r="L283" s="374" t="s">
        <v>435</v>
      </c>
      <c r="M283" s="375"/>
      <c r="N283" s="376"/>
      <c r="O283" s="374" t="s">
        <v>436</v>
      </c>
      <c r="P283" s="375"/>
      <c r="Q283" s="376"/>
      <c r="R283" s="374" t="s">
        <v>437</v>
      </c>
      <c r="S283" s="375"/>
      <c r="T283" s="376"/>
      <c r="U283" s="374" t="s">
        <v>438</v>
      </c>
      <c r="V283" s="375"/>
      <c r="W283" s="376"/>
      <c r="X283" s="374" t="s">
        <v>439</v>
      </c>
      <c r="Y283" s="375"/>
      <c r="Z283" s="376"/>
      <c r="AA283" s="374" t="s">
        <v>440</v>
      </c>
      <c r="AB283" s="375"/>
      <c r="AC283" s="376"/>
      <c r="AD283" s="374" t="s">
        <v>441</v>
      </c>
      <c r="AE283" s="375"/>
      <c r="AF283" s="376"/>
      <c r="AG283" s="374" t="s">
        <v>442</v>
      </c>
      <c r="AH283" s="375"/>
      <c r="AI283" s="376"/>
      <c r="AJ283" s="374" t="s">
        <v>443</v>
      </c>
      <c r="AK283" s="375"/>
      <c r="AL283" s="376"/>
    </row>
    <row r="284" spans="2:38" s="47" customFormat="1" ht="12.75" customHeight="1">
      <c r="B284" s="378"/>
      <c r="C284" s="367" t="s">
        <v>66</v>
      </c>
      <c r="D284" s="370" t="s">
        <v>67</v>
      </c>
      <c r="E284" s="371"/>
      <c r="F284" s="367" t="s">
        <v>66</v>
      </c>
      <c r="G284" s="370" t="s">
        <v>67</v>
      </c>
      <c r="H284" s="371"/>
      <c r="I284" s="367" t="s">
        <v>66</v>
      </c>
      <c r="J284" s="370" t="s">
        <v>67</v>
      </c>
      <c r="K284" s="371"/>
      <c r="L284" s="367" t="s">
        <v>66</v>
      </c>
      <c r="M284" s="370" t="s">
        <v>67</v>
      </c>
      <c r="N284" s="371"/>
      <c r="O284" s="367" t="s">
        <v>66</v>
      </c>
      <c r="P284" s="370" t="s">
        <v>67</v>
      </c>
      <c r="Q284" s="371"/>
      <c r="R284" s="367" t="s">
        <v>66</v>
      </c>
      <c r="S284" s="370" t="s">
        <v>67</v>
      </c>
      <c r="T284" s="371"/>
      <c r="U284" s="367" t="s">
        <v>66</v>
      </c>
      <c r="V284" s="370" t="s">
        <v>67</v>
      </c>
      <c r="W284" s="371"/>
      <c r="X284" s="367" t="s">
        <v>66</v>
      </c>
      <c r="Y284" s="370" t="s">
        <v>67</v>
      </c>
      <c r="Z284" s="371"/>
      <c r="AA284" s="367" t="s">
        <v>66</v>
      </c>
      <c r="AB284" s="370" t="s">
        <v>67</v>
      </c>
      <c r="AC284" s="371"/>
      <c r="AD284" s="367" t="s">
        <v>66</v>
      </c>
      <c r="AE284" s="370" t="s">
        <v>67</v>
      </c>
      <c r="AF284" s="371"/>
      <c r="AG284" s="367" t="s">
        <v>66</v>
      </c>
      <c r="AH284" s="370" t="s">
        <v>67</v>
      </c>
      <c r="AI284" s="371"/>
      <c r="AJ284" s="367" t="s">
        <v>66</v>
      </c>
      <c r="AK284" s="370" t="s">
        <v>67</v>
      </c>
      <c r="AL284" s="371"/>
    </row>
    <row r="285" spans="2:38" s="47" customFormat="1" ht="13.5" thickBot="1">
      <c r="B285" s="379"/>
      <c r="C285" s="368"/>
      <c r="D285" s="372"/>
      <c r="E285" s="373"/>
      <c r="F285" s="368"/>
      <c r="G285" s="372"/>
      <c r="H285" s="373"/>
      <c r="I285" s="368"/>
      <c r="J285" s="372"/>
      <c r="K285" s="373"/>
      <c r="L285" s="368"/>
      <c r="M285" s="372"/>
      <c r="N285" s="373"/>
      <c r="O285" s="368"/>
      <c r="P285" s="372"/>
      <c r="Q285" s="373"/>
      <c r="R285" s="368"/>
      <c r="S285" s="372"/>
      <c r="T285" s="373"/>
      <c r="U285" s="368"/>
      <c r="V285" s="372"/>
      <c r="W285" s="373"/>
      <c r="X285" s="368"/>
      <c r="Y285" s="372"/>
      <c r="Z285" s="373"/>
      <c r="AA285" s="368"/>
      <c r="AB285" s="372"/>
      <c r="AC285" s="373"/>
      <c r="AD285" s="368"/>
      <c r="AE285" s="372"/>
      <c r="AF285" s="373"/>
      <c r="AG285" s="368"/>
      <c r="AH285" s="372"/>
      <c r="AI285" s="373"/>
      <c r="AJ285" s="368"/>
      <c r="AK285" s="372"/>
      <c r="AL285" s="373"/>
    </row>
    <row r="286" spans="2:38" s="47" customFormat="1" ht="26.25" thickBot="1">
      <c r="B286" s="380"/>
      <c r="C286" s="96" t="s">
        <v>68</v>
      </c>
      <c r="D286" s="97" t="s">
        <v>69</v>
      </c>
      <c r="E286" s="98" t="s">
        <v>70</v>
      </c>
      <c r="F286" s="96" t="s">
        <v>68</v>
      </c>
      <c r="G286" s="97" t="s">
        <v>69</v>
      </c>
      <c r="H286" s="98" t="s">
        <v>70</v>
      </c>
      <c r="I286" s="96" t="s">
        <v>68</v>
      </c>
      <c r="J286" s="97" t="s">
        <v>69</v>
      </c>
      <c r="K286" s="98" t="s">
        <v>70</v>
      </c>
      <c r="L286" s="96" t="s">
        <v>68</v>
      </c>
      <c r="M286" s="97" t="s">
        <v>69</v>
      </c>
      <c r="N286" s="98" t="s">
        <v>70</v>
      </c>
      <c r="O286" s="96" t="s">
        <v>68</v>
      </c>
      <c r="P286" s="97" t="s">
        <v>69</v>
      </c>
      <c r="Q286" s="98" t="s">
        <v>70</v>
      </c>
      <c r="R286" s="96" t="s">
        <v>68</v>
      </c>
      <c r="S286" s="97" t="s">
        <v>69</v>
      </c>
      <c r="T286" s="98" t="s">
        <v>70</v>
      </c>
      <c r="U286" s="96" t="s">
        <v>68</v>
      </c>
      <c r="V286" s="97" t="s">
        <v>69</v>
      </c>
      <c r="W286" s="98" t="s">
        <v>70</v>
      </c>
      <c r="X286" s="96" t="s">
        <v>68</v>
      </c>
      <c r="Y286" s="97" t="s">
        <v>69</v>
      </c>
      <c r="Z286" s="98" t="s">
        <v>70</v>
      </c>
      <c r="AA286" s="96" t="s">
        <v>68</v>
      </c>
      <c r="AB286" s="97" t="s">
        <v>69</v>
      </c>
      <c r="AC286" s="98" t="s">
        <v>70</v>
      </c>
      <c r="AD286" s="96" t="s">
        <v>68</v>
      </c>
      <c r="AE286" s="97" t="s">
        <v>69</v>
      </c>
      <c r="AF286" s="98" t="s">
        <v>70</v>
      </c>
      <c r="AG286" s="96" t="s">
        <v>68</v>
      </c>
      <c r="AH286" s="97" t="s">
        <v>69</v>
      </c>
      <c r="AI286" s="98" t="s">
        <v>70</v>
      </c>
      <c r="AJ286" s="96" t="s">
        <v>68</v>
      </c>
      <c r="AK286" s="97" t="s">
        <v>69</v>
      </c>
      <c r="AL286" s="98" t="s">
        <v>70</v>
      </c>
    </row>
    <row r="287" spans="2:38" s="47" customFormat="1" ht="12.75">
      <c r="B287" s="5" t="s">
        <v>224</v>
      </c>
      <c r="C287" s="76">
        <v>1</v>
      </c>
      <c r="D287" s="65">
        <v>0</v>
      </c>
      <c r="E287" s="77">
        <v>13</v>
      </c>
      <c r="F287" s="76">
        <v>2</v>
      </c>
      <c r="G287" s="65">
        <v>3</v>
      </c>
      <c r="H287" s="77">
        <v>19</v>
      </c>
      <c r="I287" s="76">
        <v>0</v>
      </c>
      <c r="J287" s="65">
        <v>0</v>
      </c>
      <c r="K287" s="77">
        <v>7</v>
      </c>
      <c r="L287" s="76">
        <v>1</v>
      </c>
      <c r="M287" s="65">
        <v>0</v>
      </c>
      <c r="N287" s="77">
        <v>0</v>
      </c>
      <c r="O287" s="76">
        <v>2</v>
      </c>
      <c r="P287" s="65">
        <v>0</v>
      </c>
      <c r="Q287" s="77">
        <v>0</v>
      </c>
      <c r="R287" s="76">
        <v>3</v>
      </c>
      <c r="S287" s="65">
        <v>0</v>
      </c>
      <c r="T287" s="77">
        <v>0</v>
      </c>
      <c r="U287" s="76">
        <v>0</v>
      </c>
      <c r="V287" s="65">
        <v>0</v>
      </c>
      <c r="W287" s="77">
        <v>0</v>
      </c>
      <c r="X287" s="76">
        <v>0</v>
      </c>
      <c r="Y287" s="65">
        <v>0</v>
      </c>
      <c r="Z287" s="77">
        <v>0</v>
      </c>
      <c r="AA287" s="76">
        <v>1</v>
      </c>
      <c r="AB287" s="65">
        <v>0</v>
      </c>
      <c r="AC287" s="77">
        <v>0</v>
      </c>
      <c r="AD287" s="76">
        <v>1</v>
      </c>
      <c r="AE287" s="65">
        <v>0</v>
      </c>
      <c r="AF287" s="77">
        <v>0</v>
      </c>
      <c r="AG287" s="76">
        <v>1</v>
      </c>
      <c r="AH287" s="65">
        <v>0</v>
      </c>
      <c r="AI287" s="77">
        <v>0</v>
      </c>
      <c r="AJ287" s="76">
        <v>0</v>
      </c>
      <c r="AK287" s="65">
        <v>0</v>
      </c>
      <c r="AL287" s="77">
        <v>0</v>
      </c>
    </row>
    <row r="288" spans="2:38" s="47" customFormat="1" ht="12.75">
      <c r="B288" s="6" t="s">
        <v>225</v>
      </c>
      <c r="C288" s="58">
        <v>0</v>
      </c>
      <c r="D288" s="55">
        <v>0</v>
      </c>
      <c r="E288" s="59">
        <v>0</v>
      </c>
      <c r="F288" s="58">
        <v>0</v>
      </c>
      <c r="G288" s="55">
        <v>0</v>
      </c>
      <c r="H288" s="59">
        <v>0</v>
      </c>
      <c r="I288" s="58">
        <v>0</v>
      </c>
      <c r="J288" s="55">
        <v>0</v>
      </c>
      <c r="K288" s="59">
        <v>0</v>
      </c>
      <c r="L288" s="58">
        <v>11</v>
      </c>
      <c r="M288" s="55">
        <v>0</v>
      </c>
      <c r="N288" s="59">
        <v>0</v>
      </c>
      <c r="O288" s="58">
        <v>13</v>
      </c>
      <c r="P288" s="55">
        <v>0</v>
      </c>
      <c r="Q288" s="59">
        <v>0</v>
      </c>
      <c r="R288" s="58">
        <v>22</v>
      </c>
      <c r="S288" s="55">
        <v>0</v>
      </c>
      <c r="T288" s="59">
        <v>0</v>
      </c>
      <c r="U288" s="58">
        <v>20</v>
      </c>
      <c r="V288" s="55">
        <v>0</v>
      </c>
      <c r="W288" s="59">
        <v>0</v>
      </c>
      <c r="X288" s="58">
        <v>20</v>
      </c>
      <c r="Y288" s="55">
        <v>0</v>
      </c>
      <c r="Z288" s="59">
        <v>0</v>
      </c>
      <c r="AA288" s="58">
        <v>16</v>
      </c>
      <c r="AB288" s="55">
        <v>0</v>
      </c>
      <c r="AC288" s="59">
        <v>0</v>
      </c>
      <c r="AD288" s="58">
        <v>14</v>
      </c>
      <c r="AE288" s="55">
        <v>0</v>
      </c>
      <c r="AF288" s="59">
        <v>0</v>
      </c>
      <c r="AG288" s="58">
        <v>25</v>
      </c>
      <c r="AH288" s="55">
        <v>0</v>
      </c>
      <c r="AI288" s="59">
        <v>0</v>
      </c>
      <c r="AJ288" s="58">
        <v>13</v>
      </c>
      <c r="AK288" s="55">
        <v>0</v>
      </c>
      <c r="AL288" s="59">
        <v>0</v>
      </c>
    </row>
    <row r="289" spans="2:38" s="47" customFormat="1" ht="12.75">
      <c r="B289" s="6" t="s">
        <v>226</v>
      </c>
      <c r="C289" s="58">
        <v>1</v>
      </c>
      <c r="D289" s="55">
        <v>1</v>
      </c>
      <c r="E289" s="59">
        <v>13</v>
      </c>
      <c r="F289" s="58">
        <v>0</v>
      </c>
      <c r="G289" s="55">
        <v>0</v>
      </c>
      <c r="H289" s="59">
        <v>9</v>
      </c>
      <c r="I289" s="58">
        <v>0</v>
      </c>
      <c r="J289" s="55">
        <v>0</v>
      </c>
      <c r="K289" s="59">
        <v>3</v>
      </c>
      <c r="L289" s="58">
        <v>0</v>
      </c>
      <c r="M289" s="55">
        <v>0</v>
      </c>
      <c r="N289" s="59">
        <v>0</v>
      </c>
      <c r="O289" s="58">
        <v>1</v>
      </c>
      <c r="P289" s="55">
        <v>0</v>
      </c>
      <c r="Q289" s="59">
        <v>0</v>
      </c>
      <c r="R289" s="58">
        <v>0</v>
      </c>
      <c r="S289" s="55">
        <v>0</v>
      </c>
      <c r="T289" s="59">
        <v>0</v>
      </c>
      <c r="U289" s="58">
        <v>0</v>
      </c>
      <c r="V289" s="55">
        <v>0</v>
      </c>
      <c r="W289" s="59">
        <v>0</v>
      </c>
      <c r="X289" s="58">
        <v>1</v>
      </c>
      <c r="Y289" s="55">
        <v>0</v>
      </c>
      <c r="Z289" s="59">
        <v>0</v>
      </c>
      <c r="AA289" s="58">
        <v>0</v>
      </c>
      <c r="AB289" s="55">
        <v>0</v>
      </c>
      <c r="AC289" s="59">
        <v>0</v>
      </c>
      <c r="AD289" s="58">
        <v>2</v>
      </c>
      <c r="AE289" s="55">
        <v>0</v>
      </c>
      <c r="AF289" s="59">
        <v>0</v>
      </c>
      <c r="AG289" s="58">
        <v>0</v>
      </c>
      <c r="AH289" s="55">
        <v>0</v>
      </c>
      <c r="AI289" s="59">
        <v>0</v>
      </c>
      <c r="AJ289" s="58">
        <v>0</v>
      </c>
      <c r="AK289" s="55">
        <v>0</v>
      </c>
      <c r="AL289" s="59">
        <v>0</v>
      </c>
    </row>
    <row r="290" spans="2:38" s="47" customFormat="1" ht="12.75">
      <c r="B290" s="46" t="s">
        <v>422</v>
      </c>
      <c r="C290" s="58">
        <v>0</v>
      </c>
      <c r="D290" s="55">
        <v>0</v>
      </c>
      <c r="E290" s="59">
        <v>22</v>
      </c>
      <c r="F290" s="58">
        <v>0</v>
      </c>
      <c r="G290" s="55">
        <v>0</v>
      </c>
      <c r="H290" s="59">
        <v>19</v>
      </c>
      <c r="I290" s="58">
        <v>0</v>
      </c>
      <c r="J290" s="55">
        <v>0</v>
      </c>
      <c r="K290" s="59">
        <v>27</v>
      </c>
      <c r="L290" s="58">
        <v>0</v>
      </c>
      <c r="M290" s="55">
        <v>0</v>
      </c>
      <c r="N290" s="59">
        <v>12</v>
      </c>
      <c r="O290" s="58">
        <v>0</v>
      </c>
      <c r="P290" s="55">
        <v>0</v>
      </c>
      <c r="Q290" s="59">
        <v>14</v>
      </c>
      <c r="R290" s="58">
        <v>0</v>
      </c>
      <c r="S290" s="55">
        <v>0</v>
      </c>
      <c r="T290" s="59">
        <v>12</v>
      </c>
      <c r="U290" s="58">
        <v>0</v>
      </c>
      <c r="V290" s="55">
        <v>0</v>
      </c>
      <c r="W290" s="59">
        <v>28</v>
      </c>
      <c r="X290" s="58">
        <v>1</v>
      </c>
      <c r="Y290" s="55">
        <v>0</v>
      </c>
      <c r="Z290" s="59">
        <v>24</v>
      </c>
      <c r="AA290" s="58">
        <v>0</v>
      </c>
      <c r="AB290" s="55">
        <v>0</v>
      </c>
      <c r="AC290" s="59">
        <v>5</v>
      </c>
      <c r="AD290" s="58">
        <v>1</v>
      </c>
      <c r="AE290" s="55">
        <v>0</v>
      </c>
      <c r="AF290" s="59">
        <v>24</v>
      </c>
      <c r="AG290" s="58">
        <v>0</v>
      </c>
      <c r="AH290" s="55">
        <v>0</v>
      </c>
      <c r="AI290" s="59">
        <v>11</v>
      </c>
      <c r="AJ290" s="58">
        <v>0</v>
      </c>
      <c r="AK290" s="55">
        <v>0</v>
      </c>
      <c r="AL290" s="59">
        <v>7</v>
      </c>
    </row>
    <row r="291" spans="2:38" s="47" customFormat="1" ht="12.75">
      <c r="B291" s="6" t="s">
        <v>227</v>
      </c>
      <c r="C291" s="58">
        <v>8</v>
      </c>
      <c r="D291" s="55">
        <v>6</v>
      </c>
      <c r="E291" s="59">
        <v>416</v>
      </c>
      <c r="F291" s="58">
        <v>6</v>
      </c>
      <c r="G291" s="55">
        <v>2</v>
      </c>
      <c r="H291" s="59">
        <v>373</v>
      </c>
      <c r="I291" s="58">
        <v>10</v>
      </c>
      <c r="J291" s="55">
        <v>4</v>
      </c>
      <c r="K291" s="59">
        <v>314</v>
      </c>
      <c r="L291" s="58">
        <v>3</v>
      </c>
      <c r="M291" s="55">
        <v>0</v>
      </c>
      <c r="N291" s="59">
        <v>0</v>
      </c>
      <c r="O291" s="58">
        <v>7</v>
      </c>
      <c r="P291" s="55">
        <v>0</v>
      </c>
      <c r="Q291" s="59">
        <v>0</v>
      </c>
      <c r="R291" s="58">
        <v>3</v>
      </c>
      <c r="S291" s="55">
        <v>0</v>
      </c>
      <c r="T291" s="59">
        <v>0</v>
      </c>
      <c r="U291" s="58">
        <v>4</v>
      </c>
      <c r="V291" s="55">
        <v>0</v>
      </c>
      <c r="W291" s="59">
        <v>0</v>
      </c>
      <c r="X291" s="58">
        <v>3</v>
      </c>
      <c r="Y291" s="55">
        <v>0</v>
      </c>
      <c r="Z291" s="59">
        <v>0</v>
      </c>
      <c r="AA291" s="58">
        <v>8</v>
      </c>
      <c r="AB291" s="55">
        <v>0</v>
      </c>
      <c r="AC291" s="59">
        <v>0</v>
      </c>
      <c r="AD291" s="58">
        <v>1</v>
      </c>
      <c r="AE291" s="55">
        <v>0</v>
      </c>
      <c r="AF291" s="59">
        <v>0</v>
      </c>
      <c r="AG291" s="58">
        <v>2</v>
      </c>
      <c r="AH291" s="55">
        <v>0</v>
      </c>
      <c r="AI291" s="59">
        <v>0</v>
      </c>
      <c r="AJ291" s="58">
        <v>11</v>
      </c>
      <c r="AK291" s="55">
        <v>0</v>
      </c>
      <c r="AL291" s="59">
        <v>0</v>
      </c>
    </row>
    <row r="292" spans="2:38" s="47" customFormat="1" ht="12.75">
      <c r="B292" s="6" t="s">
        <v>228</v>
      </c>
      <c r="C292" s="58">
        <v>0</v>
      </c>
      <c r="D292" s="55">
        <v>0</v>
      </c>
      <c r="E292" s="59">
        <v>0</v>
      </c>
      <c r="F292" s="58">
        <v>0</v>
      </c>
      <c r="G292" s="55">
        <v>0</v>
      </c>
      <c r="H292" s="59">
        <v>0</v>
      </c>
      <c r="I292" s="58">
        <v>0</v>
      </c>
      <c r="J292" s="55">
        <v>0</v>
      </c>
      <c r="K292" s="59">
        <v>0</v>
      </c>
      <c r="L292" s="58">
        <v>1</v>
      </c>
      <c r="M292" s="55">
        <v>0</v>
      </c>
      <c r="N292" s="59">
        <v>0</v>
      </c>
      <c r="O292" s="58">
        <v>0</v>
      </c>
      <c r="P292" s="55">
        <v>0</v>
      </c>
      <c r="Q292" s="59">
        <v>0</v>
      </c>
      <c r="R292" s="58">
        <v>2</v>
      </c>
      <c r="S292" s="55">
        <v>0</v>
      </c>
      <c r="T292" s="59">
        <v>0</v>
      </c>
      <c r="U292" s="58">
        <v>0</v>
      </c>
      <c r="V292" s="55">
        <v>0</v>
      </c>
      <c r="W292" s="59">
        <v>0</v>
      </c>
      <c r="X292" s="58">
        <v>2</v>
      </c>
      <c r="Y292" s="55">
        <v>0</v>
      </c>
      <c r="Z292" s="59">
        <v>0</v>
      </c>
      <c r="AA292" s="58">
        <v>0</v>
      </c>
      <c r="AB292" s="55">
        <v>0</v>
      </c>
      <c r="AC292" s="59">
        <v>0</v>
      </c>
      <c r="AD292" s="58">
        <v>0</v>
      </c>
      <c r="AE292" s="55">
        <v>0</v>
      </c>
      <c r="AF292" s="59">
        <v>0</v>
      </c>
      <c r="AG292" s="58">
        <v>3</v>
      </c>
      <c r="AH292" s="55">
        <v>0</v>
      </c>
      <c r="AI292" s="59">
        <v>0</v>
      </c>
      <c r="AJ292" s="58">
        <v>0</v>
      </c>
      <c r="AK292" s="55">
        <v>0</v>
      </c>
      <c r="AL292" s="59">
        <v>0</v>
      </c>
    </row>
    <row r="293" spans="2:38" s="47" customFormat="1" ht="12.75">
      <c r="B293" s="6" t="s">
        <v>229</v>
      </c>
      <c r="C293" s="58">
        <v>0</v>
      </c>
      <c r="D293" s="55">
        <v>0</v>
      </c>
      <c r="E293" s="59">
        <v>0</v>
      </c>
      <c r="F293" s="58">
        <v>0</v>
      </c>
      <c r="G293" s="55">
        <v>0</v>
      </c>
      <c r="H293" s="59">
        <v>0</v>
      </c>
      <c r="I293" s="58">
        <v>0</v>
      </c>
      <c r="J293" s="55">
        <v>0</v>
      </c>
      <c r="K293" s="59">
        <v>0</v>
      </c>
      <c r="L293" s="58">
        <v>0</v>
      </c>
      <c r="M293" s="55">
        <v>0</v>
      </c>
      <c r="N293" s="59">
        <v>0</v>
      </c>
      <c r="O293" s="58">
        <v>0</v>
      </c>
      <c r="P293" s="55">
        <v>0</v>
      </c>
      <c r="Q293" s="59">
        <v>0</v>
      </c>
      <c r="R293" s="58">
        <v>0</v>
      </c>
      <c r="S293" s="55">
        <v>0</v>
      </c>
      <c r="T293" s="59">
        <v>0</v>
      </c>
      <c r="U293" s="58">
        <v>0</v>
      </c>
      <c r="V293" s="55">
        <v>0</v>
      </c>
      <c r="W293" s="59">
        <v>0</v>
      </c>
      <c r="X293" s="58">
        <v>0</v>
      </c>
      <c r="Y293" s="55">
        <v>0</v>
      </c>
      <c r="Z293" s="59">
        <v>0</v>
      </c>
      <c r="AA293" s="58">
        <v>1</v>
      </c>
      <c r="AB293" s="55">
        <v>0</v>
      </c>
      <c r="AC293" s="59">
        <v>0</v>
      </c>
      <c r="AD293" s="58">
        <v>0</v>
      </c>
      <c r="AE293" s="55">
        <v>0</v>
      </c>
      <c r="AF293" s="59">
        <v>3</v>
      </c>
      <c r="AG293" s="58">
        <v>0</v>
      </c>
      <c r="AH293" s="55">
        <v>0</v>
      </c>
      <c r="AI293" s="59">
        <v>4</v>
      </c>
      <c r="AJ293" s="58">
        <v>0</v>
      </c>
      <c r="AK293" s="55">
        <v>0</v>
      </c>
      <c r="AL293" s="59">
        <v>1</v>
      </c>
    </row>
    <row r="294" spans="2:38" s="47" customFormat="1" ht="12.75">
      <c r="B294" s="6" t="s">
        <v>230</v>
      </c>
      <c r="C294" s="58">
        <v>0</v>
      </c>
      <c r="D294" s="55">
        <v>0</v>
      </c>
      <c r="E294" s="59">
        <v>0</v>
      </c>
      <c r="F294" s="58">
        <v>0</v>
      </c>
      <c r="G294" s="55">
        <v>0</v>
      </c>
      <c r="H294" s="59">
        <v>0</v>
      </c>
      <c r="I294" s="58">
        <v>0</v>
      </c>
      <c r="J294" s="55">
        <v>0</v>
      </c>
      <c r="K294" s="59">
        <v>0</v>
      </c>
      <c r="L294" s="58">
        <v>4</v>
      </c>
      <c r="M294" s="55">
        <v>0</v>
      </c>
      <c r="N294" s="59">
        <v>0</v>
      </c>
      <c r="O294" s="58">
        <v>2</v>
      </c>
      <c r="P294" s="55">
        <v>0</v>
      </c>
      <c r="Q294" s="59">
        <v>0</v>
      </c>
      <c r="R294" s="58">
        <v>1</v>
      </c>
      <c r="S294" s="55">
        <v>0</v>
      </c>
      <c r="T294" s="59">
        <v>0</v>
      </c>
      <c r="U294" s="58">
        <v>1</v>
      </c>
      <c r="V294" s="55">
        <v>0</v>
      </c>
      <c r="W294" s="59">
        <v>0</v>
      </c>
      <c r="X294" s="58">
        <v>9</v>
      </c>
      <c r="Y294" s="55">
        <v>0</v>
      </c>
      <c r="Z294" s="59">
        <v>0</v>
      </c>
      <c r="AA294" s="58">
        <v>6</v>
      </c>
      <c r="AB294" s="55">
        <v>0</v>
      </c>
      <c r="AC294" s="59">
        <v>0</v>
      </c>
      <c r="AD294" s="58">
        <v>6</v>
      </c>
      <c r="AE294" s="55">
        <v>0</v>
      </c>
      <c r="AF294" s="59">
        <v>0</v>
      </c>
      <c r="AG294" s="58">
        <v>9</v>
      </c>
      <c r="AH294" s="55">
        <v>0</v>
      </c>
      <c r="AI294" s="59">
        <v>0</v>
      </c>
      <c r="AJ294" s="58">
        <v>5</v>
      </c>
      <c r="AK294" s="55">
        <v>0</v>
      </c>
      <c r="AL294" s="59">
        <v>0</v>
      </c>
    </row>
    <row r="295" spans="2:38" s="47" customFormat="1" ht="13.5" thickBot="1">
      <c r="B295" s="7" t="s">
        <v>231</v>
      </c>
      <c r="C295" s="81">
        <v>0</v>
      </c>
      <c r="D295" s="70">
        <v>0</v>
      </c>
      <c r="E295" s="82">
        <v>0</v>
      </c>
      <c r="F295" s="81">
        <v>0</v>
      </c>
      <c r="G295" s="70">
        <v>0</v>
      </c>
      <c r="H295" s="82">
        <v>0</v>
      </c>
      <c r="I295" s="81">
        <v>0</v>
      </c>
      <c r="J295" s="70">
        <v>0</v>
      </c>
      <c r="K295" s="82">
        <v>0</v>
      </c>
      <c r="L295" s="81">
        <v>0</v>
      </c>
      <c r="M295" s="70">
        <v>0</v>
      </c>
      <c r="N295" s="82">
        <v>0</v>
      </c>
      <c r="O295" s="81">
        <v>0</v>
      </c>
      <c r="P295" s="70">
        <v>0</v>
      </c>
      <c r="Q295" s="82">
        <v>0</v>
      </c>
      <c r="R295" s="81">
        <v>2</v>
      </c>
      <c r="S295" s="70">
        <v>0</v>
      </c>
      <c r="T295" s="82">
        <v>0</v>
      </c>
      <c r="U295" s="81">
        <v>0</v>
      </c>
      <c r="V295" s="70">
        <v>0</v>
      </c>
      <c r="W295" s="82">
        <v>0</v>
      </c>
      <c r="X295" s="81">
        <v>0</v>
      </c>
      <c r="Y295" s="70">
        <v>0</v>
      </c>
      <c r="Z295" s="82">
        <v>0</v>
      </c>
      <c r="AA295" s="81">
        <v>1</v>
      </c>
      <c r="AB295" s="70">
        <v>0</v>
      </c>
      <c r="AC295" s="82">
        <v>0</v>
      </c>
      <c r="AD295" s="81">
        <v>0</v>
      </c>
      <c r="AE295" s="70">
        <v>0</v>
      </c>
      <c r="AF295" s="82">
        <v>0</v>
      </c>
      <c r="AG295" s="81">
        <v>1</v>
      </c>
      <c r="AH295" s="70">
        <v>0</v>
      </c>
      <c r="AI295" s="82">
        <v>0</v>
      </c>
      <c r="AJ295" s="81">
        <v>0</v>
      </c>
      <c r="AK295" s="70">
        <v>0</v>
      </c>
      <c r="AL295" s="82">
        <v>0</v>
      </c>
    </row>
    <row r="296" spans="2:38" s="47" customFormat="1" ht="13.5" thickBot="1">
      <c r="B296" s="83" t="s">
        <v>0</v>
      </c>
      <c r="C296" s="44">
        <f aca="true" t="shared" si="31" ref="C296:AL296">SUM(C287:C295)</f>
        <v>10</v>
      </c>
      <c r="D296" s="51">
        <f t="shared" si="31"/>
        <v>7</v>
      </c>
      <c r="E296" s="52">
        <f t="shared" si="31"/>
        <v>464</v>
      </c>
      <c r="F296" s="109">
        <f t="shared" si="31"/>
        <v>8</v>
      </c>
      <c r="G296" s="51">
        <f t="shared" si="31"/>
        <v>5</v>
      </c>
      <c r="H296" s="93">
        <f t="shared" si="31"/>
        <v>420</v>
      </c>
      <c r="I296" s="245">
        <f t="shared" si="31"/>
        <v>10</v>
      </c>
      <c r="J296" s="51">
        <f t="shared" si="31"/>
        <v>4</v>
      </c>
      <c r="K296" s="93">
        <f t="shared" si="31"/>
        <v>351</v>
      </c>
      <c r="L296" s="245">
        <f t="shared" si="31"/>
        <v>20</v>
      </c>
      <c r="M296" s="51">
        <f t="shared" si="31"/>
        <v>0</v>
      </c>
      <c r="N296" s="93">
        <f t="shared" si="31"/>
        <v>12</v>
      </c>
      <c r="O296" s="245">
        <f t="shared" si="31"/>
        <v>25</v>
      </c>
      <c r="P296" s="51">
        <f t="shared" si="31"/>
        <v>0</v>
      </c>
      <c r="Q296" s="93">
        <f t="shared" si="31"/>
        <v>14</v>
      </c>
      <c r="R296" s="245">
        <f t="shared" si="31"/>
        <v>33</v>
      </c>
      <c r="S296" s="51">
        <f t="shared" si="31"/>
        <v>0</v>
      </c>
      <c r="T296" s="93">
        <f t="shared" si="31"/>
        <v>12</v>
      </c>
      <c r="U296" s="245">
        <f t="shared" si="31"/>
        <v>25</v>
      </c>
      <c r="V296" s="51">
        <f t="shared" si="31"/>
        <v>0</v>
      </c>
      <c r="W296" s="93">
        <f t="shared" si="31"/>
        <v>28</v>
      </c>
      <c r="X296" s="245">
        <f t="shared" si="31"/>
        <v>36</v>
      </c>
      <c r="Y296" s="51">
        <f t="shared" si="31"/>
        <v>0</v>
      </c>
      <c r="Z296" s="93">
        <f t="shared" si="31"/>
        <v>24</v>
      </c>
      <c r="AA296" s="245">
        <f t="shared" si="31"/>
        <v>33</v>
      </c>
      <c r="AB296" s="51">
        <f t="shared" si="31"/>
        <v>0</v>
      </c>
      <c r="AC296" s="93">
        <f t="shared" si="31"/>
        <v>5</v>
      </c>
      <c r="AD296" s="245">
        <f t="shared" si="31"/>
        <v>25</v>
      </c>
      <c r="AE296" s="51">
        <f t="shared" si="31"/>
        <v>0</v>
      </c>
      <c r="AF296" s="93">
        <f t="shared" si="31"/>
        <v>27</v>
      </c>
      <c r="AG296" s="245">
        <f t="shared" si="31"/>
        <v>41</v>
      </c>
      <c r="AH296" s="51">
        <f t="shared" si="31"/>
        <v>0</v>
      </c>
      <c r="AI296" s="93">
        <f t="shared" si="31"/>
        <v>15</v>
      </c>
      <c r="AJ296" s="245">
        <f t="shared" si="31"/>
        <v>29</v>
      </c>
      <c r="AK296" s="51">
        <f t="shared" si="31"/>
        <v>0</v>
      </c>
      <c r="AL296" s="93">
        <f t="shared" si="31"/>
        <v>8</v>
      </c>
    </row>
    <row r="297" s="47" customFormat="1" ht="12.75"/>
    <row r="298" s="47" customFormat="1" ht="12.75"/>
    <row r="299" s="47" customFormat="1" ht="12.75">
      <c r="B299" s="45" t="s">
        <v>423</v>
      </c>
    </row>
    <row r="300" spans="2:5" ht="12.75">
      <c r="B300" s="387"/>
      <c r="C300" s="387"/>
      <c r="D300" s="387"/>
      <c r="E300" s="387"/>
    </row>
    <row r="302" spans="2:5" s="47" customFormat="1" ht="12.75">
      <c r="B302" s="383" t="s">
        <v>89</v>
      </c>
      <c r="C302" s="383"/>
      <c r="D302" s="383"/>
      <c r="E302" s="383"/>
    </row>
    <row r="303" spans="2:5" s="47" customFormat="1" ht="12.75">
      <c r="B303" s="60"/>
      <c r="C303" s="60"/>
      <c r="D303" s="60"/>
      <c r="E303" s="60"/>
    </row>
    <row r="304" spans="2:5" s="47" customFormat="1" ht="12.75">
      <c r="B304" s="383" t="s">
        <v>41</v>
      </c>
      <c r="C304" s="383"/>
      <c r="D304" s="383"/>
      <c r="E304" s="383"/>
    </row>
    <row r="305" spans="2:5" s="47" customFormat="1" ht="12.75">
      <c r="B305" s="60"/>
      <c r="C305" s="60"/>
      <c r="D305" s="60"/>
      <c r="E305" s="60"/>
    </row>
    <row r="306" spans="2:5" s="47" customFormat="1" ht="12.75">
      <c r="B306" s="383" t="s">
        <v>86</v>
      </c>
      <c r="C306" s="383"/>
      <c r="D306" s="383"/>
      <c r="E306" s="383"/>
    </row>
    <row r="307" spans="2:5" s="47" customFormat="1" ht="12.75">
      <c r="B307" s="60"/>
      <c r="C307" s="60"/>
      <c r="D307" s="60"/>
      <c r="E307" s="60"/>
    </row>
    <row r="308" spans="2:5" s="47" customFormat="1" ht="12.75">
      <c r="B308" s="383">
        <v>2016</v>
      </c>
      <c r="C308" s="383"/>
      <c r="D308" s="383"/>
      <c r="E308" s="383"/>
    </row>
    <row r="309" spans="2:5" s="47" customFormat="1" ht="13.5" thickBot="1">
      <c r="B309" s="4"/>
      <c r="C309" s="4"/>
      <c r="D309" s="4"/>
      <c r="E309" s="4"/>
    </row>
    <row r="310" spans="2:38" s="47" customFormat="1" ht="13.5" customHeight="1" thickBot="1">
      <c r="B310" s="377" t="s">
        <v>394</v>
      </c>
      <c r="C310" s="374" t="s">
        <v>7</v>
      </c>
      <c r="D310" s="375"/>
      <c r="E310" s="376"/>
      <c r="F310" s="374" t="s">
        <v>433</v>
      </c>
      <c r="G310" s="375"/>
      <c r="H310" s="376"/>
      <c r="I310" s="374" t="s">
        <v>434</v>
      </c>
      <c r="J310" s="375"/>
      <c r="K310" s="376"/>
      <c r="L310" s="374" t="s">
        <v>435</v>
      </c>
      <c r="M310" s="375"/>
      <c r="N310" s="376"/>
      <c r="O310" s="374" t="s">
        <v>436</v>
      </c>
      <c r="P310" s="375"/>
      <c r="Q310" s="376"/>
      <c r="R310" s="374" t="s">
        <v>437</v>
      </c>
      <c r="S310" s="375"/>
      <c r="T310" s="376"/>
      <c r="U310" s="374" t="s">
        <v>438</v>
      </c>
      <c r="V310" s="375"/>
      <c r="W310" s="376"/>
      <c r="X310" s="374" t="s">
        <v>439</v>
      </c>
      <c r="Y310" s="375"/>
      <c r="Z310" s="376"/>
      <c r="AA310" s="374" t="s">
        <v>440</v>
      </c>
      <c r="AB310" s="375"/>
      <c r="AC310" s="376"/>
      <c r="AD310" s="374" t="s">
        <v>441</v>
      </c>
      <c r="AE310" s="375"/>
      <c r="AF310" s="376"/>
      <c r="AG310" s="374" t="s">
        <v>442</v>
      </c>
      <c r="AH310" s="375"/>
      <c r="AI310" s="376"/>
      <c r="AJ310" s="374" t="s">
        <v>443</v>
      </c>
      <c r="AK310" s="375"/>
      <c r="AL310" s="376"/>
    </row>
    <row r="311" spans="2:38" s="47" customFormat="1" ht="12.75" customHeight="1">
      <c r="B311" s="378"/>
      <c r="C311" s="367" t="s">
        <v>66</v>
      </c>
      <c r="D311" s="370" t="s">
        <v>67</v>
      </c>
      <c r="E311" s="371"/>
      <c r="F311" s="367" t="s">
        <v>66</v>
      </c>
      <c r="G311" s="370" t="s">
        <v>67</v>
      </c>
      <c r="H311" s="371"/>
      <c r="I311" s="367" t="s">
        <v>66</v>
      </c>
      <c r="J311" s="370" t="s">
        <v>67</v>
      </c>
      <c r="K311" s="371"/>
      <c r="L311" s="367" t="s">
        <v>66</v>
      </c>
      <c r="M311" s="370" t="s">
        <v>67</v>
      </c>
      <c r="N311" s="371"/>
      <c r="O311" s="367" t="s">
        <v>66</v>
      </c>
      <c r="P311" s="370" t="s">
        <v>67</v>
      </c>
      <c r="Q311" s="371"/>
      <c r="R311" s="367" t="s">
        <v>66</v>
      </c>
      <c r="S311" s="370" t="s">
        <v>67</v>
      </c>
      <c r="T311" s="371"/>
      <c r="U311" s="367" t="s">
        <v>66</v>
      </c>
      <c r="V311" s="370" t="s">
        <v>67</v>
      </c>
      <c r="W311" s="371"/>
      <c r="X311" s="367" t="s">
        <v>66</v>
      </c>
      <c r="Y311" s="370" t="s">
        <v>67</v>
      </c>
      <c r="Z311" s="371"/>
      <c r="AA311" s="367" t="s">
        <v>66</v>
      </c>
      <c r="AB311" s="370" t="s">
        <v>67</v>
      </c>
      <c r="AC311" s="371"/>
      <c r="AD311" s="367" t="s">
        <v>66</v>
      </c>
      <c r="AE311" s="370" t="s">
        <v>67</v>
      </c>
      <c r="AF311" s="371"/>
      <c r="AG311" s="367" t="s">
        <v>66</v>
      </c>
      <c r="AH311" s="370" t="s">
        <v>67</v>
      </c>
      <c r="AI311" s="371"/>
      <c r="AJ311" s="367" t="s">
        <v>66</v>
      </c>
      <c r="AK311" s="370" t="s">
        <v>67</v>
      </c>
      <c r="AL311" s="371"/>
    </row>
    <row r="312" spans="2:38" s="47" customFormat="1" ht="13.5" thickBot="1">
      <c r="B312" s="379"/>
      <c r="C312" s="368"/>
      <c r="D312" s="372"/>
      <c r="E312" s="373"/>
      <c r="F312" s="368"/>
      <c r="G312" s="372"/>
      <c r="H312" s="373"/>
      <c r="I312" s="368"/>
      <c r="J312" s="372"/>
      <c r="K312" s="373"/>
      <c r="L312" s="368"/>
      <c r="M312" s="372"/>
      <c r="N312" s="373"/>
      <c r="O312" s="368"/>
      <c r="P312" s="372"/>
      <c r="Q312" s="373"/>
      <c r="R312" s="368"/>
      <c r="S312" s="372"/>
      <c r="T312" s="373"/>
      <c r="U312" s="368"/>
      <c r="V312" s="372"/>
      <c r="W312" s="373"/>
      <c r="X312" s="368"/>
      <c r="Y312" s="372"/>
      <c r="Z312" s="373"/>
      <c r="AA312" s="368"/>
      <c r="AB312" s="372"/>
      <c r="AC312" s="373"/>
      <c r="AD312" s="368"/>
      <c r="AE312" s="372"/>
      <c r="AF312" s="373"/>
      <c r="AG312" s="368"/>
      <c r="AH312" s="372"/>
      <c r="AI312" s="373"/>
      <c r="AJ312" s="368"/>
      <c r="AK312" s="372"/>
      <c r="AL312" s="373"/>
    </row>
    <row r="313" spans="2:38" s="47" customFormat="1" ht="26.25" thickBot="1">
      <c r="B313" s="380"/>
      <c r="C313" s="96" t="s">
        <v>68</v>
      </c>
      <c r="D313" s="97" t="s">
        <v>69</v>
      </c>
      <c r="E313" s="98" t="s">
        <v>70</v>
      </c>
      <c r="F313" s="96" t="s">
        <v>68</v>
      </c>
      <c r="G313" s="97" t="s">
        <v>69</v>
      </c>
      <c r="H313" s="98" t="s">
        <v>70</v>
      </c>
      <c r="I313" s="96" t="s">
        <v>68</v>
      </c>
      <c r="J313" s="97" t="s">
        <v>69</v>
      </c>
      <c r="K313" s="98" t="s">
        <v>70</v>
      </c>
      <c r="L313" s="96" t="s">
        <v>68</v>
      </c>
      <c r="M313" s="97" t="s">
        <v>69</v>
      </c>
      <c r="N313" s="98" t="s">
        <v>70</v>
      </c>
      <c r="O313" s="96" t="s">
        <v>68</v>
      </c>
      <c r="P313" s="97" t="s">
        <v>69</v>
      </c>
      <c r="Q313" s="98" t="s">
        <v>70</v>
      </c>
      <c r="R313" s="96" t="s">
        <v>68</v>
      </c>
      <c r="S313" s="97" t="s">
        <v>69</v>
      </c>
      <c r="T313" s="98" t="s">
        <v>70</v>
      </c>
      <c r="U313" s="96" t="s">
        <v>68</v>
      </c>
      <c r="V313" s="97" t="s">
        <v>69</v>
      </c>
      <c r="W313" s="98" t="s">
        <v>70</v>
      </c>
      <c r="X313" s="96" t="s">
        <v>68</v>
      </c>
      <c r="Y313" s="97" t="s">
        <v>69</v>
      </c>
      <c r="Z313" s="98" t="s">
        <v>70</v>
      </c>
      <c r="AA313" s="96" t="s">
        <v>68</v>
      </c>
      <c r="AB313" s="97" t="s">
        <v>69</v>
      </c>
      <c r="AC313" s="98" t="s">
        <v>70</v>
      </c>
      <c r="AD313" s="96" t="s">
        <v>68</v>
      </c>
      <c r="AE313" s="97" t="s">
        <v>69</v>
      </c>
      <c r="AF313" s="98" t="s">
        <v>70</v>
      </c>
      <c r="AG313" s="96" t="s">
        <v>68</v>
      </c>
      <c r="AH313" s="97" t="s">
        <v>69</v>
      </c>
      <c r="AI313" s="98" t="s">
        <v>70</v>
      </c>
      <c r="AJ313" s="96" t="s">
        <v>68</v>
      </c>
      <c r="AK313" s="97" t="s">
        <v>69</v>
      </c>
      <c r="AL313" s="98" t="s">
        <v>70</v>
      </c>
    </row>
    <row r="314" spans="2:38" s="47" customFormat="1" ht="12.75">
      <c r="B314" s="5" t="s">
        <v>232</v>
      </c>
      <c r="C314" s="76">
        <v>0</v>
      </c>
      <c r="D314" s="65">
        <v>0</v>
      </c>
      <c r="E314" s="77">
        <v>37</v>
      </c>
      <c r="F314" s="76">
        <v>2</v>
      </c>
      <c r="G314" s="65">
        <v>0</v>
      </c>
      <c r="H314" s="77">
        <v>9</v>
      </c>
      <c r="I314" s="76">
        <v>0</v>
      </c>
      <c r="J314" s="65">
        <v>0</v>
      </c>
      <c r="K314" s="77">
        <v>19</v>
      </c>
      <c r="L314" s="76">
        <v>0</v>
      </c>
      <c r="M314" s="65">
        <v>0</v>
      </c>
      <c r="N314" s="77">
        <v>0</v>
      </c>
      <c r="O314" s="76">
        <v>1</v>
      </c>
      <c r="P314" s="65">
        <v>0</v>
      </c>
      <c r="Q314" s="77">
        <v>0</v>
      </c>
      <c r="R314" s="76">
        <v>0</v>
      </c>
      <c r="S314" s="65">
        <v>0</v>
      </c>
      <c r="T314" s="77">
        <v>0</v>
      </c>
      <c r="U314" s="76">
        <v>0</v>
      </c>
      <c r="V314" s="65">
        <v>0</v>
      </c>
      <c r="W314" s="77">
        <v>0</v>
      </c>
      <c r="X314" s="76">
        <v>0</v>
      </c>
      <c r="Y314" s="65">
        <v>0</v>
      </c>
      <c r="Z314" s="77">
        <v>0</v>
      </c>
      <c r="AA314" s="76">
        <v>1</v>
      </c>
      <c r="AB314" s="65">
        <v>0</v>
      </c>
      <c r="AC314" s="77">
        <v>0</v>
      </c>
      <c r="AD314" s="76">
        <v>0</v>
      </c>
      <c r="AE314" s="65">
        <v>0</v>
      </c>
      <c r="AF314" s="77">
        <v>0</v>
      </c>
      <c r="AG314" s="76">
        <v>0</v>
      </c>
      <c r="AH314" s="65">
        <v>0</v>
      </c>
      <c r="AI314" s="77">
        <v>0</v>
      </c>
      <c r="AJ314" s="76">
        <v>2</v>
      </c>
      <c r="AK314" s="65">
        <v>0</v>
      </c>
      <c r="AL314" s="77">
        <v>0</v>
      </c>
    </row>
    <row r="315" spans="2:38" s="47" customFormat="1" ht="12.75">
      <c r="B315" s="6" t="s">
        <v>233</v>
      </c>
      <c r="C315" s="58">
        <v>1</v>
      </c>
      <c r="D315" s="55">
        <v>0</v>
      </c>
      <c r="E315" s="59">
        <v>5</v>
      </c>
      <c r="F315" s="58">
        <v>0</v>
      </c>
      <c r="G315" s="55">
        <v>0</v>
      </c>
      <c r="H315" s="59">
        <v>1</v>
      </c>
      <c r="I315" s="58">
        <v>0</v>
      </c>
      <c r="J315" s="55">
        <v>0</v>
      </c>
      <c r="K315" s="59">
        <v>2</v>
      </c>
      <c r="L315" s="58">
        <v>0</v>
      </c>
      <c r="M315" s="55">
        <v>0</v>
      </c>
      <c r="N315" s="59">
        <v>0</v>
      </c>
      <c r="O315" s="58">
        <v>0</v>
      </c>
      <c r="P315" s="55">
        <v>0</v>
      </c>
      <c r="Q315" s="59">
        <v>0</v>
      </c>
      <c r="R315" s="58">
        <v>0</v>
      </c>
      <c r="S315" s="55">
        <v>0</v>
      </c>
      <c r="T315" s="59">
        <v>0</v>
      </c>
      <c r="U315" s="58">
        <v>0</v>
      </c>
      <c r="V315" s="55">
        <v>0</v>
      </c>
      <c r="W315" s="59">
        <v>0</v>
      </c>
      <c r="X315" s="58">
        <v>0</v>
      </c>
      <c r="Y315" s="55">
        <v>0</v>
      </c>
      <c r="Z315" s="59">
        <v>0</v>
      </c>
      <c r="AA315" s="58">
        <v>0</v>
      </c>
      <c r="AB315" s="55">
        <v>0</v>
      </c>
      <c r="AC315" s="59">
        <v>0</v>
      </c>
      <c r="AD315" s="58">
        <v>0</v>
      </c>
      <c r="AE315" s="55">
        <v>0</v>
      </c>
      <c r="AF315" s="59">
        <v>0</v>
      </c>
      <c r="AG315" s="58">
        <v>0</v>
      </c>
      <c r="AH315" s="55">
        <v>0</v>
      </c>
      <c r="AI315" s="59">
        <v>0</v>
      </c>
      <c r="AJ315" s="58">
        <v>0</v>
      </c>
      <c r="AK315" s="55">
        <v>0</v>
      </c>
      <c r="AL315" s="59">
        <v>0</v>
      </c>
    </row>
    <row r="316" spans="2:38" s="47" customFormat="1" ht="12.75">
      <c r="B316" s="6" t="s">
        <v>234</v>
      </c>
      <c r="C316" s="58">
        <v>3</v>
      </c>
      <c r="D316" s="55">
        <v>2</v>
      </c>
      <c r="E316" s="59">
        <v>33</v>
      </c>
      <c r="F316" s="58">
        <v>2</v>
      </c>
      <c r="G316" s="55">
        <v>1</v>
      </c>
      <c r="H316" s="59">
        <v>19</v>
      </c>
      <c r="I316" s="58">
        <v>2</v>
      </c>
      <c r="J316" s="55">
        <v>1</v>
      </c>
      <c r="K316" s="59">
        <v>22</v>
      </c>
      <c r="L316" s="58">
        <v>1</v>
      </c>
      <c r="M316" s="55">
        <v>0</v>
      </c>
      <c r="N316" s="59">
        <v>0</v>
      </c>
      <c r="O316" s="58">
        <v>1</v>
      </c>
      <c r="P316" s="55">
        <v>0</v>
      </c>
      <c r="Q316" s="59">
        <v>0</v>
      </c>
      <c r="R316" s="58">
        <v>1</v>
      </c>
      <c r="S316" s="55">
        <v>0</v>
      </c>
      <c r="T316" s="59">
        <v>0</v>
      </c>
      <c r="U316" s="58">
        <v>0</v>
      </c>
      <c r="V316" s="55">
        <v>0</v>
      </c>
      <c r="W316" s="59">
        <v>0</v>
      </c>
      <c r="X316" s="58">
        <v>1</v>
      </c>
      <c r="Y316" s="55">
        <v>0</v>
      </c>
      <c r="Z316" s="59">
        <v>0</v>
      </c>
      <c r="AA316" s="58">
        <v>1</v>
      </c>
      <c r="AB316" s="55">
        <v>0</v>
      </c>
      <c r="AC316" s="59">
        <v>0</v>
      </c>
      <c r="AD316" s="58">
        <v>0</v>
      </c>
      <c r="AE316" s="55">
        <v>0</v>
      </c>
      <c r="AF316" s="59">
        <v>0</v>
      </c>
      <c r="AG316" s="58">
        <v>0</v>
      </c>
      <c r="AH316" s="55">
        <v>0</v>
      </c>
      <c r="AI316" s="59">
        <v>0</v>
      </c>
      <c r="AJ316" s="58">
        <v>0</v>
      </c>
      <c r="AK316" s="55">
        <v>0</v>
      </c>
      <c r="AL316" s="59">
        <v>0</v>
      </c>
    </row>
    <row r="317" spans="2:38" s="47" customFormat="1" ht="12.75">
      <c r="B317" s="6" t="s">
        <v>235</v>
      </c>
      <c r="C317" s="58">
        <v>0</v>
      </c>
      <c r="D317" s="55">
        <v>0</v>
      </c>
      <c r="E317" s="59">
        <v>12</v>
      </c>
      <c r="F317" s="58">
        <v>0</v>
      </c>
      <c r="G317" s="55">
        <v>0</v>
      </c>
      <c r="H317" s="59">
        <v>14</v>
      </c>
      <c r="I317" s="58">
        <v>0</v>
      </c>
      <c r="J317" s="55">
        <v>0</v>
      </c>
      <c r="K317" s="59">
        <v>10</v>
      </c>
      <c r="L317" s="58">
        <v>0</v>
      </c>
      <c r="M317" s="55">
        <v>0</v>
      </c>
      <c r="N317" s="59">
        <v>0</v>
      </c>
      <c r="O317" s="58">
        <v>0</v>
      </c>
      <c r="P317" s="55">
        <v>0</v>
      </c>
      <c r="Q317" s="59">
        <v>0</v>
      </c>
      <c r="R317" s="58">
        <v>1</v>
      </c>
      <c r="S317" s="55">
        <v>0</v>
      </c>
      <c r="T317" s="59">
        <v>0</v>
      </c>
      <c r="U317" s="58">
        <v>0</v>
      </c>
      <c r="V317" s="55">
        <v>0</v>
      </c>
      <c r="W317" s="59">
        <v>0</v>
      </c>
      <c r="X317" s="58">
        <v>0</v>
      </c>
      <c r="Y317" s="55">
        <v>0</v>
      </c>
      <c r="Z317" s="59">
        <v>0</v>
      </c>
      <c r="AA317" s="58">
        <v>1</v>
      </c>
      <c r="AB317" s="55">
        <v>0</v>
      </c>
      <c r="AC317" s="59">
        <v>0</v>
      </c>
      <c r="AD317" s="58">
        <v>0</v>
      </c>
      <c r="AE317" s="55">
        <v>0</v>
      </c>
      <c r="AF317" s="59">
        <v>0</v>
      </c>
      <c r="AG317" s="58">
        <v>0</v>
      </c>
      <c r="AH317" s="55">
        <v>0</v>
      </c>
      <c r="AI317" s="59">
        <v>0</v>
      </c>
      <c r="AJ317" s="58">
        <v>0</v>
      </c>
      <c r="AK317" s="55">
        <v>0</v>
      </c>
      <c r="AL317" s="59">
        <v>0</v>
      </c>
    </row>
    <row r="318" spans="2:38" s="47" customFormat="1" ht="12.75">
      <c r="B318" s="6" t="s">
        <v>236</v>
      </c>
      <c r="C318" s="58">
        <v>0</v>
      </c>
      <c r="D318" s="55">
        <v>0</v>
      </c>
      <c r="E318" s="59">
        <v>1</v>
      </c>
      <c r="F318" s="58">
        <v>0</v>
      </c>
      <c r="G318" s="55">
        <v>0</v>
      </c>
      <c r="H318" s="59">
        <v>0</v>
      </c>
      <c r="I318" s="58">
        <v>0</v>
      </c>
      <c r="J318" s="55">
        <v>0</v>
      </c>
      <c r="K318" s="59">
        <v>0</v>
      </c>
      <c r="L318" s="58">
        <v>0</v>
      </c>
      <c r="M318" s="55">
        <v>0</v>
      </c>
      <c r="N318" s="59">
        <v>0</v>
      </c>
      <c r="O318" s="58">
        <v>0</v>
      </c>
      <c r="P318" s="55">
        <v>0</v>
      </c>
      <c r="Q318" s="59">
        <v>0</v>
      </c>
      <c r="R318" s="58">
        <v>0</v>
      </c>
      <c r="S318" s="55">
        <v>0</v>
      </c>
      <c r="T318" s="59">
        <v>0</v>
      </c>
      <c r="U318" s="58">
        <v>1</v>
      </c>
      <c r="V318" s="55">
        <v>0</v>
      </c>
      <c r="W318" s="59">
        <v>0</v>
      </c>
      <c r="X318" s="58">
        <v>0</v>
      </c>
      <c r="Y318" s="55">
        <v>0</v>
      </c>
      <c r="Z318" s="59">
        <v>0</v>
      </c>
      <c r="AA318" s="58">
        <v>0</v>
      </c>
      <c r="AB318" s="55">
        <v>0</v>
      </c>
      <c r="AC318" s="59">
        <v>0</v>
      </c>
      <c r="AD318" s="58">
        <v>1</v>
      </c>
      <c r="AE318" s="55">
        <v>0</v>
      </c>
      <c r="AF318" s="59">
        <v>0</v>
      </c>
      <c r="AG318" s="58">
        <v>0</v>
      </c>
      <c r="AH318" s="55">
        <v>0</v>
      </c>
      <c r="AI318" s="59">
        <v>0</v>
      </c>
      <c r="AJ318" s="58">
        <v>0</v>
      </c>
      <c r="AK318" s="55">
        <v>0</v>
      </c>
      <c r="AL318" s="59">
        <v>0</v>
      </c>
    </row>
    <row r="319" spans="2:38" s="47" customFormat="1" ht="12.75">
      <c r="B319" s="6" t="s">
        <v>237</v>
      </c>
      <c r="C319" s="58">
        <v>0</v>
      </c>
      <c r="D319" s="55">
        <v>0</v>
      </c>
      <c r="E319" s="59">
        <v>0</v>
      </c>
      <c r="F319" s="58">
        <v>0</v>
      </c>
      <c r="G319" s="55">
        <v>0</v>
      </c>
      <c r="H319" s="59">
        <v>0</v>
      </c>
      <c r="I319" s="58">
        <v>0</v>
      </c>
      <c r="J319" s="55">
        <v>0</v>
      </c>
      <c r="K319" s="59">
        <v>0</v>
      </c>
      <c r="L319" s="58">
        <v>15</v>
      </c>
      <c r="M319" s="55">
        <v>0</v>
      </c>
      <c r="N319" s="59">
        <v>0</v>
      </c>
      <c r="O319" s="58">
        <v>14</v>
      </c>
      <c r="P319" s="55">
        <v>0</v>
      </c>
      <c r="Q319" s="59">
        <v>0</v>
      </c>
      <c r="R319" s="58">
        <v>25</v>
      </c>
      <c r="S319" s="55">
        <v>0</v>
      </c>
      <c r="T319" s="59">
        <v>0</v>
      </c>
      <c r="U319" s="58">
        <v>31</v>
      </c>
      <c r="V319" s="55">
        <v>0</v>
      </c>
      <c r="W319" s="59">
        <v>0</v>
      </c>
      <c r="X319" s="58">
        <v>25</v>
      </c>
      <c r="Y319" s="55">
        <v>0</v>
      </c>
      <c r="Z319" s="59">
        <v>0</v>
      </c>
      <c r="AA319" s="58">
        <v>27</v>
      </c>
      <c r="AB319" s="55">
        <v>0</v>
      </c>
      <c r="AC319" s="59">
        <v>0</v>
      </c>
      <c r="AD319" s="58">
        <v>20</v>
      </c>
      <c r="AE319" s="55">
        <v>0</v>
      </c>
      <c r="AF319" s="59">
        <v>0</v>
      </c>
      <c r="AG319" s="58">
        <v>32</v>
      </c>
      <c r="AH319" s="55">
        <v>0</v>
      </c>
      <c r="AI319" s="59">
        <v>0</v>
      </c>
      <c r="AJ319" s="58">
        <v>23</v>
      </c>
      <c r="AK319" s="55">
        <v>0</v>
      </c>
      <c r="AL319" s="59">
        <v>0</v>
      </c>
    </row>
    <row r="320" spans="2:38" s="47" customFormat="1" ht="12.75">
      <c r="B320" s="6" t="s">
        <v>238</v>
      </c>
      <c r="C320" s="58">
        <v>0</v>
      </c>
      <c r="D320" s="55">
        <v>0</v>
      </c>
      <c r="E320" s="59">
        <v>0</v>
      </c>
      <c r="F320" s="58">
        <v>0</v>
      </c>
      <c r="G320" s="55">
        <v>0</v>
      </c>
      <c r="H320" s="59">
        <v>0</v>
      </c>
      <c r="I320" s="58">
        <v>0</v>
      </c>
      <c r="J320" s="55">
        <v>0</v>
      </c>
      <c r="K320" s="59">
        <v>0</v>
      </c>
      <c r="L320" s="58">
        <v>1</v>
      </c>
      <c r="M320" s="55">
        <v>0</v>
      </c>
      <c r="N320" s="59">
        <v>0</v>
      </c>
      <c r="O320" s="58">
        <v>1</v>
      </c>
      <c r="P320" s="55">
        <v>0</v>
      </c>
      <c r="Q320" s="59">
        <v>0</v>
      </c>
      <c r="R320" s="58">
        <v>0</v>
      </c>
      <c r="S320" s="55">
        <v>0</v>
      </c>
      <c r="T320" s="59">
        <v>0</v>
      </c>
      <c r="U320" s="58">
        <v>2</v>
      </c>
      <c r="V320" s="55">
        <v>0</v>
      </c>
      <c r="W320" s="59">
        <v>0</v>
      </c>
      <c r="X320" s="58">
        <v>1</v>
      </c>
      <c r="Y320" s="55">
        <v>0</v>
      </c>
      <c r="Z320" s="59">
        <v>0</v>
      </c>
      <c r="AA320" s="58">
        <v>0</v>
      </c>
      <c r="AB320" s="55">
        <v>0</v>
      </c>
      <c r="AC320" s="59">
        <v>0</v>
      </c>
      <c r="AD320" s="58">
        <v>1</v>
      </c>
      <c r="AE320" s="55">
        <v>0</v>
      </c>
      <c r="AF320" s="59">
        <v>0</v>
      </c>
      <c r="AG320" s="58">
        <v>1</v>
      </c>
      <c r="AH320" s="55">
        <v>0</v>
      </c>
      <c r="AI320" s="59">
        <v>0</v>
      </c>
      <c r="AJ320" s="58">
        <v>0</v>
      </c>
      <c r="AK320" s="55">
        <v>0</v>
      </c>
      <c r="AL320" s="59">
        <v>0</v>
      </c>
    </row>
    <row r="321" spans="2:38" s="47" customFormat="1" ht="12.75">
      <c r="B321" s="6" t="s">
        <v>239</v>
      </c>
      <c r="C321" s="58">
        <v>0</v>
      </c>
      <c r="D321" s="55">
        <v>0</v>
      </c>
      <c r="E321" s="59">
        <v>20</v>
      </c>
      <c r="F321" s="58">
        <v>0</v>
      </c>
      <c r="G321" s="55">
        <v>0</v>
      </c>
      <c r="H321" s="59">
        <v>10</v>
      </c>
      <c r="I321" s="58">
        <v>0</v>
      </c>
      <c r="J321" s="55">
        <v>0</v>
      </c>
      <c r="K321" s="59">
        <v>2</v>
      </c>
      <c r="L321" s="58">
        <v>1</v>
      </c>
      <c r="M321" s="55">
        <v>0</v>
      </c>
      <c r="N321" s="59">
        <v>0</v>
      </c>
      <c r="O321" s="58">
        <v>0</v>
      </c>
      <c r="P321" s="55">
        <v>0</v>
      </c>
      <c r="Q321" s="59">
        <v>0</v>
      </c>
      <c r="R321" s="58">
        <v>0</v>
      </c>
      <c r="S321" s="55">
        <v>0</v>
      </c>
      <c r="T321" s="59">
        <v>0</v>
      </c>
      <c r="U321" s="58">
        <v>1</v>
      </c>
      <c r="V321" s="55">
        <v>0</v>
      </c>
      <c r="W321" s="59">
        <v>0</v>
      </c>
      <c r="X321" s="58">
        <v>0</v>
      </c>
      <c r="Y321" s="55">
        <v>0</v>
      </c>
      <c r="Z321" s="59">
        <v>0</v>
      </c>
      <c r="AA321" s="58">
        <v>0</v>
      </c>
      <c r="AB321" s="55">
        <v>0</v>
      </c>
      <c r="AC321" s="59">
        <v>0</v>
      </c>
      <c r="AD321" s="58">
        <v>0</v>
      </c>
      <c r="AE321" s="55">
        <v>0</v>
      </c>
      <c r="AF321" s="59">
        <v>0</v>
      </c>
      <c r="AG321" s="58">
        <v>0</v>
      </c>
      <c r="AH321" s="55">
        <v>0</v>
      </c>
      <c r="AI321" s="59">
        <v>0</v>
      </c>
      <c r="AJ321" s="58">
        <v>0</v>
      </c>
      <c r="AK321" s="55">
        <v>0</v>
      </c>
      <c r="AL321" s="59">
        <v>0</v>
      </c>
    </row>
    <row r="322" spans="2:38" s="47" customFormat="1" ht="12.75">
      <c r="B322" s="6" t="s">
        <v>240</v>
      </c>
      <c r="C322" s="58">
        <v>2</v>
      </c>
      <c r="D322" s="55">
        <v>2</v>
      </c>
      <c r="E322" s="59">
        <v>112</v>
      </c>
      <c r="F322" s="58">
        <v>1</v>
      </c>
      <c r="G322" s="55">
        <v>1</v>
      </c>
      <c r="H322" s="59">
        <v>94</v>
      </c>
      <c r="I322" s="58">
        <v>0</v>
      </c>
      <c r="J322" s="55">
        <v>0</v>
      </c>
      <c r="K322" s="59">
        <v>59</v>
      </c>
      <c r="L322" s="58">
        <v>0</v>
      </c>
      <c r="M322" s="55">
        <v>0</v>
      </c>
      <c r="N322" s="59">
        <v>0</v>
      </c>
      <c r="O322" s="58">
        <v>2</v>
      </c>
      <c r="P322" s="55">
        <v>0</v>
      </c>
      <c r="Q322" s="59">
        <v>0</v>
      </c>
      <c r="R322" s="58">
        <v>2</v>
      </c>
      <c r="S322" s="55">
        <v>0</v>
      </c>
      <c r="T322" s="59">
        <v>0</v>
      </c>
      <c r="U322" s="58">
        <v>0</v>
      </c>
      <c r="V322" s="55">
        <v>0</v>
      </c>
      <c r="W322" s="59">
        <v>0</v>
      </c>
      <c r="X322" s="58">
        <v>4</v>
      </c>
      <c r="Y322" s="55">
        <v>0</v>
      </c>
      <c r="Z322" s="59">
        <v>0</v>
      </c>
      <c r="AA322" s="58">
        <v>0</v>
      </c>
      <c r="AB322" s="55">
        <v>0</v>
      </c>
      <c r="AC322" s="59">
        <v>0</v>
      </c>
      <c r="AD322" s="58">
        <v>2</v>
      </c>
      <c r="AE322" s="55">
        <v>0</v>
      </c>
      <c r="AF322" s="59">
        <v>0</v>
      </c>
      <c r="AG322" s="58">
        <v>1</v>
      </c>
      <c r="AH322" s="55">
        <v>0</v>
      </c>
      <c r="AI322" s="59">
        <v>0</v>
      </c>
      <c r="AJ322" s="58">
        <v>3</v>
      </c>
      <c r="AK322" s="55">
        <v>0</v>
      </c>
      <c r="AL322" s="59">
        <v>0</v>
      </c>
    </row>
    <row r="323" spans="2:38" s="47" customFormat="1" ht="12.75">
      <c r="B323" s="6" t="s">
        <v>241</v>
      </c>
      <c r="C323" s="58">
        <v>0</v>
      </c>
      <c r="D323" s="55">
        <v>0</v>
      </c>
      <c r="E323" s="59">
        <v>4</v>
      </c>
      <c r="F323" s="58">
        <v>0</v>
      </c>
      <c r="G323" s="55">
        <v>1</v>
      </c>
      <c r="H323" s="59">
        <v>2</v>
      </c>
      <c r="I323" s="58">
        <v>1</v>
      </c>
      <c r="J323" s="55">
        <v>1</v>
      </c>
      <c r="K323" s="59">
        <v>2</v>
      </c>
      <c r="L323" s="58">
        <v>2</v>
      </c>
      <c r="M323" s="55">
        <v>0</v>
      </c>
      <c r="N323" s="59">
        <v>3</v>
      </c>
      <c r="O323" s="58">
        <v>0</v>
      </c>
      <c r="P323" s="55">
        <v>0</v>
      </c>
      <c r="Q323" s="59">
        <v>0</v>
      </c>
      <c r="R323" s="58">
        <v>0</v>
      </c>
      <c r="S323" s="55">
        <v>0</v>
      </c>
      <c r="T323" s="59">
        <v>4</v>
      </c>
      <c r="U323" s="58">
        <v>0</v>
      </c>
      <c r="V323" s="55">
        <v>0</v>
      </c>
      <c r="W323" s="59">
        <v>10</v>
      </c>
      <c r="X323" s="58">
        <v>0</v>
      </c>
      <c r="Y323" s="55">
        <v>0</v>
      </c>
      <c r="Z323" s="59">
        <v>2</v>
      </c>
      <c r="AA323" s="58">
        <v>0</v>
      </c>
      <c r="AB323" s="55">
        <v>0</v>
      </c>
      <c r="AC323" s="59">
        <v>0</v>
      </c>
      <c r="AD323" s="58">
        <v>0</v>
      </c>
      <c r="AE323" s="55">
        <v>0</v>
      </c>
      <c r="AF323" s="59">
        <v>2</v>
      </c>
      <c r="AG323" s="58">
        <v>0</v>
      </c>
      <c r="AH323" s="55">
        <v>0</v>
      </c>
      <c r="AI323" s="59">
        <v>1</v>
      </c>
      <c r="AJ323" s="58">
        <v>0</v>
      </c>
      <c r="AK323" s="55">
        <v>0</v>
      </c>
      <c r="AL323" s="59">
        <v>0</v>
      </c>
    </row>
    <row r="324" spans="2:38" s="47" customFormat="1" ht="12.75">
      <c r="B324" s="6" t="s">
        <v>242</v>
      </c>
      <c r="C324" s="58">
        <v>0</v>
      </c>
      <c r="D324" s="55">
        <v>0</v>
      </c>
      <c r="E324" s="59">
        <v>25</v>
      </c>
      <c r="F324" s="58">
        <v>1</v>
      </c>
      <c r="G324" s="55">
        <v>1</v>
      </c>
      <c r="H324" s="59">
        <v>8</v>
      </c>
      <c r="I324" s="58">
        <v>0</v>
      </c>
      <c r="J324" s="55">
        <v>0</v>
      </c>
      <c r="K324" s="59">
        <v>7</v>
      </c>
      <c r="L324" s="58">
        <v>1</v>
      </c>
      <c r="M324" s="55">
        <v>0</v>
      </c>
      <c r="N324" s="59">
        <v>0</v>
      </c>
      <c r="O324" s="58">
        <v>0</v>
      </c>
      <c r="P324" s="55">
        <v>0</v>
      </c>
      <c r="Q324" s="59">
        <v>0</v>
      </c>
      <c r="R324" s="58">
        <v>0</v>
      </c>
      <c r="S324" s="55">
        <v>0</v>
      </c>
      <c r="T324" s="59">
        <v>0</v>
      </c>
      <c r="U324" s="58">
        <v>0</v>
      </c>
      <c r="V324" s="55">
        <v>0</v>
      </c>
      <c r="W324" s="59">
        <v>0</v>
      </c>
      <c r="X324" s="58">
        <v>1</v>
      </c>
      <c r="Y324" s="55">
        <v>0</v>
      </c>
      <c r="Z324" s="59">
        <v>0</v>
      </c>
      <c r="AA324" s="58">
        <v>1</v>
      </c>
      <c r="AB324" s="55">
        <v>0</v>
      </c>
      <c r="AC324" s="59">
        <v>0</v>
      </c>
      <c r="AD324" s="58">
        <v>0</v>
      </c>
      <c r="AE324" s="55">
        <v>0</v>
      </c>
      <c r="AF324" s="59">
        <v>0</v>
      </c>
      <c r="AG324" s="58">
        <v>0</v>
      </c>
      <c r="AH324" s="55">
        <v>0</v>
      </c>
      <c r="AI324" s="59">
        <v>0</v>
      </c>
      <c r="AJ324" s="58">
        <v>0</v>
      </c>
      <c r="AK324" s="55">
        <v>0</v>
      </c>
      <c r="AL324" s="59">
        <v>0</v>
      </c>
    </row>
    <row r="325" spans="2:38" s="47" customFormat="1" ht="12.75">
      <c r="B325" s="6" t="s">
        <v>243</v>
      </c>
      <c r="C325" s="78">
        <v>0</v>
      </c>
      <c r="D325" s="79">
        <v>0</v>
      </c>
      <c r="E325" s="80">
        <v>8</v>
      </c>
      <c r="F325" s="78">
        <v>0</v>
      </c>
      <c r="G325" s="79">
        <v>0</v>
      </c>
      <c r="H325" s="80">
        <v>2</v>
      </c>
      <c r="I325" s="78">
        <v>0</v>
      </c>
      <c r="J325" s="79">
        <v>0</v>
      </c>
      <c r="K325" s="80">
        <v>10</v>
      </c>
      <c r="L325" s="78">
        <v>0</v>
      </c>
      <c r="M325" s="79">
        <v>0</v>
      </c>
      <c r="N325" s="80">
        <v>0</v>
      </c>
      <c r="O325" s="78">
        <v>0</v>
      </c>
      <c r="P325" s="79">
        <v>0</v>
      </c>
      <c r="Q325" s="80">
        <v>0</v>
      </c>
      <c r="R325" s="78">
        <v>0</v>
      </c>
      <c r="S325" s="79">
        <v>0</v>
      </c>
      <c r="T325" s="80">
        <v>0</v>
      </c>
      <c r="U325" s="78">
        <v>0</v>
      </c>
      <c r="V325" s="79">
        <v>0</v>
      </c>
      <c r="W325" s="80">
        <v>0</v>
      </c>
      <c r="X325" s="78">
        <v>0</v>
      </c>
      <c r="Y325" s="79">
        <v>0</v>
      </c>
      <c r="Z325" s="80">
        <v>0</v>
      </c>
      <c r="AA325" s="78">
        <v>0</v>
      </c>
      <c r="AB325" s="79">
        <v>0</v>
      </c>
      <c r="AC325" s="80">
        <v>0</v>
      </c>
      <c r="AD325" s="78">
        <v>0</v>
      </c>
      <c r="AE325" s="79">
        <v>0</v>
      </c>
      <c r="AF325" s="80">
        <v>0</v>
      </c>
      <c r="AG325" s="78">
        <v>0</v>
      </c>
      <c r="AH325" s="79">
        <v>0</v>
      </c>
      <c r="AI325" s="80">
        <v>0</v>
      </c>
      <c r="AJ325" s="78">
        <v>0</v>
      </c>
      <c r="AK325" s="79">
        <v>0</v>
      </c>
      <c r="AL325" s="80">
        <v>0</v>
      </c>
    </row>
    <row r="326" spans="2:38" s="47" customFormat="1" ht="12.75">
      <c r="B326" s="6" t="s">
        <v>244</v>
      </c>
      <c r="C326" s="58">
        <v>2</v>
      </c>
      <c r="D326" s="55">
        <v>2</v>
      </c>
      <c r="E326" s="59">
        <v>9</v>
      </c>
      <c r="F326" s="58">
        <v>0</v>
      </c>
      <c r="G326" s="55">
        <v>0</v>
      </c>
      <c r="H326" s="59">
        <v>1</v>
      </c>
      <c r="I326" s="58">
        <v>0</v>
      </c>
      <c r="J326" s="55">
        <v>0</v>
      </c>
      <c r="K326" s="59">
        <v>0</v>
      </c>
      <c r="L326" s="58">
        <v>0</v>
      </c>
      <c r="M326" s="55">
        <v>0</v>
      </c>
      <c r="N326" s="59">
        <v>0</v>
      </c>
      <c r="O326" s="58">
        <v>0</v>
      </c>
      <c r="P326" s="55">
        <v>0</v>
      </c>
      <c r="Q326" s="59">
        <v>0</v>
      </c>
      <c r="R326" s="58">
        <v>0</v>
      </c>
      <c r="S326" s="55">
        <v>0</v>
      </c>
      <c r="T326" s="59">
        <v>0</v>
      </c>
      <c r="U326" s="58">
        <v>0</v>
      </c>
      <c r="V326" s="55">
        <v>0</v>
      </c>
      <c r="W326" s="59">
        <v>0</v>
      </c>
      <c r="X326" s="58">
        <v>0</v>
      </c>
      <c r="Y326" s="55">
        <v>0</v>
      </c>
      <c r="Z326" s="59">
        <v>0</v>
      </c>
      <c r="AA326" s="58">
        <v>0</v>
      </c>
      <c r="AB326" s="55">
        <v>0</v>
      </c>
      <c r="AC326" s="59">
        <v>0</v>
      </c>
      <c r="AD326" s="58">
        <v>1</v>
      </c>
      <c r="AE326" s="55">
        <v>0</v>
      </c>
      <c r="AF326" s="59">
        <v>0</v>
      </c>
      <c r="AG326" s="58">
        <v>0</v>
      </c>
      <c r="AH326" s="55">
        <v>0</v>
      </c>
      <c r="AI326" s="59">
        <v>0</v>
      </c>
      <c r="AJ326" s="58">
        <v>3</v>
      </c>
      <c r="AK326" s="55">
        <v>0</v>
      </c>
      <c r="AL326" s="59">
        <v>0</v>
      </c>
    </row>
    <row r="327" spans="2:38" s="47" customFormat="1" ht="12.75">
      <c r="B327" s="6" t="s">
        <v>245</v>
      </c>
      <c r="C327" s="58">
        <v>0</v>
      </c>
      <c r="D327" s="55">
        <v>0</v>
      </c>
      <c r="E327" s="59">
        <v>1</v>
      </c>
      <c r="F327" s="58">
        <v>0</v>
      </c>
      <c r="G327" s="55">
        <v>0</v>
      </c>
      <c r="H327" s="59">
        <v>0</v>
      </c>
      <c r="I327" s="58">
        <v>0</v>
      </c>
      <c r="J327" s="55">
        <v>0</v>
      </c>
      <c r="K327" s="59">
        <v>1</v>
      </c>
      <c r="L327" s="58">
        <v>0</v>
      </c>
      <c r="M327" s="55">
        <v>0</v>
      </c>
      <c r="N327" s="59">
        <v>0</v>
      </c>
      <c r="O327" s="58">
        <v>0</v>
      </c>
      <c r="P327" s="55">
        <v>0</v>
      </c>
      <c r="Q327" s="59">
        <v>0</v>
      </c>
      <c r="R327" s="58">
        <v>0</v>
      </c>
      <c r="S327" s="55">
        <v>0</v>
      </c>
      <c r="T327" s="59">
        <v>0</v>
      </c>
      <c r="U327" s="58">
        <v>0</v>
      </c>
      <c r="V327" s="55">
        <v>0</v>
      </c>
      <c r="W327" s="59">
        <v>0</v>
      </c>
      <c r="X327" s="58">
        <v>0</v>
      </c>
      <c r="Y327" s="55">
        <v>0</v>
      </c>
      <c r="Z327" s="59">
        <v>0</v>
      </c>
      <c r="AA327" s="58">
        <v>0</v>
      </c>
      <c r="AB327" s="55">
        <v>0</v>
      </c>
      <c r="AC327" s="59">
        <v>0</v>
      </c>
      <c r="AD327" s="58">
        <v>0</v>
      </c>
      <c r="AE327" s="55">
        <v>0</v>
      </c>
      <c r="AF327" s="59">
        <v>0</v>
      </c>
      <c r="AG327" s="58">
        <v>0</v>
      </c>
      <c r="AH327" s="55">
        <v>0</v>
      </c>
      <c r="AI327" s="59">
        <v>0</v>
      </c>
      <c r="AJ327" s="58">
        <v>0</v>
      </c>
      <c r="AK327" s="55">
        <v>0</v>
      </c>
      <c r="AL327" s="59">
        <v>0</v>
      </c>
    </row>
    <row r="328" spans="2:38" s="47" customFormat="1" ht="12.75">
      <c r="B328" s="6" t="s">
        <v>246</v>
      </c>
      <c r="C328" s="58">
        <v>2</v>
      </c>
      <c r="D328" s="55">
        <v>0</v>
      </c>
      <c r="E328" s="59">
        <v>29</v>
      </c>
      <c r="F328" s="58">
        <v>0</v>
      </c>
      <c r="G328" s="55">
        <v>0</v>
      </c>
      <c r="H328" s="59">
        <v>0</v>
      </c>
      <c r="I328" s="58">
        <v>0</v>
      </c>
      <c r="J328" s="55">
        <v>0</v>
      </c>
      <c r="K328" s="59">
        <v>0</v>
      </c>
      <c r="L328" s="58">
        <v>6</v>
      </c>
      <c r="M328" s="55">
        <v>0</v>
      </c>
      <c r="N328" s="59">
        <v>0</v>
      </c>
      <c r="O328" s="58">
        <v>4</v>
      </c>
      <c r="P328" s="55">
        <v>0</v>
      </c>
      <c r="Q328" s="59">
        <v>0</v>
      </c>
      <c r="R328" s="58">
        <v>1</v>
      </c>
      <c r="S328" s="55">
        <v>0</v>
      </c>
      <c r="T328" s="59">
        <v>0</v>
      </c>
      <c r="U328" s="58">
        <v>2</v>
      </c>
      <c r="V328" s="55">
        <v>0</v>
      </c>
      <c r="W328" s="59">
        <v>0</v>
      </c>
      <c r="X328" s="58">
        <v>4</v>
      </c>
      <c r="Y328" s="55">
        <v>0</v>
      </c>
      <c r="Z328" s="59">
        <v>0</v>
      </c>
      <c r="AA328" s="58">
        <v>2</v>
      </c>
      <c r="AB328" s="55">
        <v>0</v>
      </c>
      <c r="AC328" s="59">
        <v>0</v>
      </c>
      <c r="AD328" s="58">
        <v>4</v>
      </c>
      <c r="AE328" s="55">
        <v>0</v>
      </c>
      <c r="AF328" s="59">
        <v>0</v>
      </c>
      <c r="AG328" s="58">
        <v>1</v>
      </c>
      <c r="AH328" s="55">
        <v>0</v>
      </c>
      <c r="AI328" s="59">
        <v>0</v>
      </c>
      <c r="AJ328" s="58">
        <v>0</v>
      </c>
      <c r="AK328" s="55">
        <v>0</v>
      </c>
      <c r="AL328" s="59">
        <v>0</v>
      </c>
    </row>
    <row r="329" spans="2:38" s="47" customFormat="1" ht="12.75">
      <c r="B329" s="6" t="s">
        <v>247</v>
      </c>
      <c r="C329" s="58">
        <v>0</v>
      </c>
      <c r="D329" s="55">
        <v>0</v>
      </c>
      <c r="E329" s="59">
        <v>0</v>
      </c>
      <c r="F329" s="58">
        <v>0</v>
      </c>
      <c r="G329" s="55">
        <v>0</v>
      </c>
      <c r="H329" s="59">
        <v>9</v>
      </c>
      <c r="I329" s="58">
        <v>0</v>
      </c>
      <c r="J329" s="55">
        <v>0</v>
      </c>
      <c r="K329" s="59">
        <v>5</v>
      </c>
      <c r="L329" s="58">
        <v>0</v>
      </c>
      <c r="M329" s="55">
        <v>0</v>
      </c>
      <c r="N329" s="59">
        <v>4</v>
      </c>
      <c r="O329" s="58">
        <v>0</v>
      </c>
      <c r="P329" s="55">
        <v>0</v>
      </c>
      <c r="Q329" s="59">
        <v>4</v>
      </c>
      <c r="R329" s="58">
        <v>0</v>
      </c>
      <c r="S329" s="55">
        <v>0</v>
      </c>
      <c r="T329" s="59">
        <v>7</v>
      </c>
      <c r="U329" s="58">
        <v>0</v>
      </c>
      <c r="V329" s="55">
        <v>0</v>
      </c>
      <c r="W329" s="59">
        <v>4</v>
      </c>
      <c r="X329" s="58">
        <v>0</v>
      </c>
      <c r="Y329" s="55">
        <v>0</v>
      </c>
      <c r="Z329" s="59">
        <v>1</v>
      </c>
      <c r="AA329" s="58">
        <v>0</v>
      </c>
      <c r="AB329" s="55">
        <v>0</v>
      </c>
      <c r="AC329" s="59">
        <v>4</v>
      </c>
      <c r="AD329" s="58">
        <v>0</v>
      </c>
      <c r="AE329" s="55">
        <v>0</v>
      </c>
      <c r="AF329" s="59">
        <v>2</v>
      </c>
      <c r="AG329" s="58">
        <v>0</v>
      </c>
      <c r="AH329" s="55">
        <v>0</v>
      </c>
      <c r="AI329" s="59">
        <v>0</v>
      </c>
      <c r="AJ329" s="58">
        <v>0</v>
      </c>
      <c r="AK329" s="55">
        <v>0</v>
      </c>
      <c r="AL329" s="59">
        <v>0</v>
      </c>
    </row>
    <row r="330" spans="2:38" s="47" customFormat="1" ht="12.75">
      <c r="B330" s="6" t="s">
        <v>248</v>
      </c>
      <c r="C330" s="58">
        <v>0</v>
      </c>
      <c r="D330" s="55">
        <v>0</v>
      </c>
      <c r="E330" s="59">
        <v>2</v>
      </c>
      <c r="F330" s="58">
        <v>0</v>
      </c>
      <c r="G330" s="55">
        <v>0</v>
      </c>
      <c r="H330" s="59">
        <v>0</v>
      </c>
      <c r="I330" s="58">
        <v>0</v>
      </c>
      <c r="J330" s="55">
        <v>0</v>
      </c>
      <c r="K330" s="59">
        <v>0</v>
      </c>
      <c r="L330" s="58">
        <v>1</v>
      </c>
      <c r="M330" s="55">
        <v>0</v>
      </c>
      <c r="N330" s="59">
        <v>0</v>
      </c>
      <c r="O330" s="58">
        <v>0</v>
      </c>
      <c r="P330" s="55">
        <v>0</v>
      </c>
      <c r="Q330" s="59">
        <v>0</v>
      </c>
      <c r="R330" s="58">
        <v>1</v>
      </c>
      <c r="S330" s="55">
        <v>0</v>
      </c>
      <c r="T330" s="59">
        <v>0</v>
      </c>
      <c r="U330" s="58">
        <v>0</v>
      </c>
      <c r="V330" s="55">
        <v>0</v>
      </c>
      <c r="W330" s="59">
        <v>0</v>
      </c>
      <c r="X330" s="58">
        <v>0</v>
      </c>
      <c r="Y330" s="55">
        <v>0</v>
      </c>
      <c r="Z330" s="59">
        <v>0</v>
      </c>
      <c r="AA330" s="58">
        <v>0</v>
      </c>
      <c r="AB330" s="55">
        <v>0</v>
      </c>
      <c r="AC330" s="59">
        <v>0</v>
      </c>
      <c r="AD330" s="58">
        <v>2</v>
      </c>
      <c r="AE330" s="55">
        <v>0</v>
      </c>
      <c r="AF330" s="59">
        <v>0</v>
      </c>
      <c r="AG330" s="58">
        <v>0</v>
      </c>
      <c r="AH330" s="55">
        <v>0</v>
      </c>
      <c r="AI330" s="59">
        <v>0</v>
      </c>
      <c r="AJ330" s="58">
        <v>0</v>
      </c>
      <c r="AK330" s="55">
        <v>0</v>
      </c>
      <c r="AL330" s="59">
        <v>0</v>
      </c>
    </row>
    <row r="331" spans="2:38" s="47" customFormat="1" ht="12.75">
      <c r="B331" s="6" t="s">
        <v>249</v>
      </c>
      <c r="C331" s="58">
        <v>0</v>
      </c>
      <c r="D331" s="55">
        <v>0</v>
      </c>
      <c r="E331" s="59">
        <v>7</v>
      </c>
      <c r="F331" s="58">
        <v>0</v>
      </c>
      <c r="G331" s="55">
        <v>0</v>
      </c>
      <c r="H331" s="59">
        <v>0</v>
      </c>
      <c r="I331" s="58">
        <v>0</v>
      </c>
      <c r="J331" s="55">
        <v>0</v>
      </c>
      <c r="K331" s="59">
        <v>0</v>
      </c>
      <c r="L331" s="58">
        <v>0</v>
      </c>
      <c r="M331" s="55">
        <v>0</v>
      </c>
      <c r="N331" s="59">
        <v>0</v>
      </c>
      <c r="O331" s="58">
        <v>1</v>
      </c>
      <c r="P331" s="55">
        <v>0</v>
      </c>
      <c r="Q331" s="59">
        <v>0</v>
      </c>
      <c r="R331" s="58">
        <v>0</v>
      </c>
      <c r="S331" s="55">
        <v>0</v>
      </c>
      <c r="T331" s="59">
        <v>0</v>
      </c>
      <c r="U331" s="58">
        <v>0</v>
      </c>
      <c r="V331" s="55">
        <v>0</v>
      </c>
      <c r="W331" s="59">
        <v>0</v>
      </c>
      <c r="X331" s="58">
        <v>1</v>
      </c>
      <c r="Y331" s="55">
        <v>0</v>
      </c>
      <c r="Z331" s="59">
        <v>0</v>
      </c>
      <c r="AA331" s="58">
        <v>0</v>
      </c>
      <c r="AB331" s="55">
        <v>0</v>
      </c>
      <c r="AC331" s="59">
        <v>0</v>
      </c>
      <c r="AD331" s="58">
        <v>2</v>
      </c>
      <c r="AE331" s="55">
        <v>0</v>
      </c>
      <c r="AF331" s="59">
        <v>0</v>
      </c>
      <c r="AG331" s="58">
        <v>0</v>
      </c>
      <c r="AH331" s="55">
        <v>0</v>
      </c>
      <c r="AI331" s="59">
        <v>0</v>
      </c>
      <c r="AJ331" s="58">
        <v>0</v>
      </c>
      <c r="AK331" s="55">
        <v>0</v>
      </c>
      <c r="AL331" s="59">
        <v>0</v>
      </c>
    </row>
    <row r="332" spans="2:38" s="47" customFormat="1" ht="13.5" thickBot="1">
      <c r="B332" s="7" t="s">
        <v>250</v>
      </c>
      <c r="C332" s="81">
        <v>1</v>
      </c>
      <c r="D332" s="70">
        <v>1</v>
      </c>
      <c r="E332" s="82">
        <v>40</v>
      </c>
      <c r="F332" s="81">
        <v>0</v>
      </c>
      <c r="G332" s="70">
        <v>1</v>
      </c>
      <c r="H332" s="82">
        <v>19</v>
      </c>
      <c r="I332" s="81">
        <v>0</v>
      </c>
      <c r="J332" s="70">
        <v>0</v>
      </c>
      <c r="K332" s="82">
        <v>27</v>
      </c>
      <c r="L332" s="81">
        <v>1</v>
      </c>
      <c r="M332" s="70">
        <v>0</v>
      </c>
      <c r="N332" s="82">
        <v>0</v>
      </c>
      <c r="O332" s="81">
        <v>0</v>
      </c>
      <c r="P332" s="70">
        <v>0</v>
      </c>
      <c r="Q332" s="82">
        <v>0</v>
      </c>
      <c r="R332" s="81">
        <v>0</v>
      </c>
      <c r="S332" s="70">
        <v>0</v>
      </c>
      <c r="T332" s="82">
        <v>0</v>
      </c>
      <c r="U332" s="81">
        <v>0</v>
      </c>
      <c r="V332" s="70">
        <v>0</v>
      </c>
      <c r="W332" s="82">
        <v>0</v>
      </c>
      <c r="X332" s="81">
        <v>0</v>
      </c>
      <c r="Y332" s="70">
        <v>0</v>
      </c>
      <c r="Z332" s="82">
        <v>0</v>
      </c>
      <c r="AA332" s="81">
        <v>0</v>
      </c>
      <c r="AB332" s="70">
        <v>0</v>
      </c>
      <c r="AC332" s="82">
        <v>0</v>
      </c>
      <c r="AD332" s="81">
        <v>0</v>
      </c>
      <c r="AE332" s="70">
        <v>0</v>
      </c>
      <c r="AF332" s="82">
        <v>0</v>
      </c>
      <c r="AG332" s="81">
        <v>0</v>
      </c>
      <c r="AH332" s="70">
        <v>0</v>
      </c>
      <c r="AI332" s="82">
        <v>0</v>
      </c>
      <c r="AJ332" s="81">
        <v>0</v>
      </c>
      <c r="AK332" s="70">
        <v>0</v>
      </c>
      <c r="AL332" s="82">
        <v>0</v>
      </c>
    </row>
    <row r="333" spans="2:38" s="47" customFormat="1" ht="13.5" thickBot="1">
      <c r="B333" s="83" t="s">
        <v>0</v>
      </c>
      <c r="C333" s="44">
        <f aca="true" t="shared" si="32" ref="C333:AL333">SUM(C314:C332)</f>
        <v>11</v>
      </c>
      <c r="D333" s="51">
        <f t="shared" si="32"/>
        <v>7</v>
      </c>
      <c r="E333" s="52">
        <f t="shared" si="32"/>
        <v>345</v>
      </c>
      <c r="F333" s="109">
        <f t="shared" si="32"/>
        <v>6</v>
      </c>
      <c r="G333" s="51">
        <f t="shared" si="32"/>
        <v>5</v>
      </c>
      <c r="H333" s="93">
        <f t="shared" si="32"/>
        <v>188</v>
      </c>
      <c r="I333" s="245">
        <f t="shared" si="32"/>
        <v>3</v>
      </c>
      <c r="J333" s="51">
        <f t="shared" si="32"/>
        <v>2</v>
      </c>
      <c r="K333" s="93">
        <f t="shared" si="32"/>
        <v>166</v>
      </c>
      <c r="L333" s="245">
        <f t="shared" si="32"/>
        <v>29</v>
      </c>
      <c r="M333" s="51">
        <f t="shared" si="32"/>
        <v>0</v>
      </c>
      <c r="N333" s="93">
        <f t="shared" si="32"/>
        <v>7</v>
      </c>
      <c r="O333" s="245">
        <f t="shared" si="32"/>
        <v>24</v>
      </c>
      <c r="P333" s="51">
        <f t="shared" si="32"/>
        <v>0</v>
      </c>
      <c r="Q333" s="93">
        <f t="shared" si="32"/>
        <v>4</v>
      </c>
      <c r="R333" s="245">
        <f t="shared" si="32"/>
        <v>31</v>
      </c>
      <c r="S333" s="51">
        <f t="shared" si="32"/>
        <v>0</v>
      </c>
      <c r="T333" s="93">
        <f t="shared" si="32"/>
        <v>11</v>
      </c>
      <c r="U333" s="245">
        <f t="shared" si="32"/>
        <v>37</v>
      </c>
      <c r="V333" s="51">
        <f t="shared" si="32"/>
        <v>0</v>
      </c>
      <c r="W333" s="93">
        <f t="shared" si="32"/>
        <v>14</v>
      </c>
      <c r="X333" s="245">
        <f t="shared" si="32"/>
        <v>37</v>
      </c>
      <c r="Y333" s="51">
        <f t="shared" si="32"/>
        <v>0</v>
      </c>
      <c r="Z333" s="93">
        <f t="shared" si="32"/>
        <v>3</v>
      </c>
      <c r="AA333" s="245">
        <f t="shared" si="32"/>
        <v>33</v>
      </c>
      <c r="AB333" s="51">
        <f t="shared" si="32"/>
        <v>0</v>
      </c>
      <c r="AC333" s="93">
        <f t="shared" si="32"/>
        <v>4</v>
      </c>
      <c r="AD333" s="245">
        <f t="shared" si="32"/>
        <v>33</v>
      </c>
      <c r="AE333" s="51">
        <f t="shared" si="32"/>
        <v>0</v>
      </c>
      <c r="AF333" s="93">
        <f t="shared" si="32"/>
        <v>4</v>
      </c>
      <c r="AG333" s="245">
        <f t="shared" si="32"/>
        <v>35</v>
      </c>
      <c r="AH333" s="51">
        <f t="shared" si="32"/>
        <v>0</v>
      </c>
      <c r="AI333" s="93">
        <f t="shared" si="32"/>
        <v>1</v>
      </c>
      <c r="AJ333" s="245">
        <f t="shared" si="32"/>
        <v>31</v>
      </c>
      <c r="AK333" s="51">
        <f t="shared" si="32"/>
        <v>0</v>
      </c>
      <c r="AL333" s="93">
        <f t="shared" si="32"/>
        <v>0</v>
      </c>
    </row>
    <row r="334" s="47" customFormat="1" ht="12.75"/>
    <row r="335" spans="2:5" s="47" customFormat="1" ht="12.75">
      <c r="B335" s="369"/>
      <c r="C335" s="369"/>
      <c r="D335" s="369"/>
      <c r="E335" s="369"/>
    </row>
    <row r="336" s="47" customFormat="1" ht="12.75"/>
    <row r="337" spans="2:5" s="47" customFormat="1" ht="12.75">
      <c r="B337" s="383" t="s">
        <v>18</v>
      </c>
      <c r="C337" s="383"/>
      <c r="D337" s="383"/>
      <c r="E337" s="383"/>
    </row>
    <row r="338" spans="2:5" s="47" customFormat="1" ht="12.75">
      <c r="B338" s="60"/>
      <c r="C338" s="60"/>
      <c r="D338" s="60"/>
      <c r="E338" s="60"/>
    </row>
    <row r="339" spans="2:5" s="47" customFormat="1" ht="12.75">
      <c r="B339" s="383" t="s">
        <v>41</v>
      </c>
      <c r="C339" s="383"/>
      <c r="D339" s="383"/>
      <c r="E339" s="383"/>
    </row>
    <row r="340" spans="2:5" s="47" customFormat="1" ht="12.75">
      <c r="B340" s="60"/>
      <c r="C340" s="60"/>
      <c r="D340" s="60"/>
      <c r="E340" s="60"/>
    </row>
    <row r="341" spans="2:5" s="47" customFormat="1" ht="12.75">
      <c r="B341" s="383" t="s">
        <v>86</v>
      </c>
      <c r="C341" s="383"/>
      <c r="D341" s="383"/>
      <c r="E341" s="383"/>
    </row>
    <row r="342" spans="2:5" s="47" customFormat="1" ht="12.75">
      <c r="B342" s="60"/>
      <c r="C342" s="60"/>
      <c r="D342" s="60"/>
      <c r="E342" s="60"/>
    </row>
    <row r="343" spans="2:5" s="47" customFormat="1" ht="12.75">
      <c r="B343" s="383">
        <v>2016</v>
      </c>
      <c r="C343" s="383"/>
      <c r="D343" s="383"/>
      <c r="E343" s="383"/>
    </row>
    <row r="344" spans="2:5" s="47" customFormat="1" ht="13.5" thickBot="1">
      <c r="B344" s="4"/>
      <c r="C344" s="4"/>
      <c r="D344" s="4"/>
      <c r="E344" s="4"/>
    </row>
    <row r="345" spans="2:38" s="47" customFormat="1" ht="13.5" customHeight="1" thickBot="1">
      <c r="B345" s="377" t="s">
        <v>394</v>
      </c>
      <c r="C345" s="374" t="s">
        <v>7</v>
      </c>
      <c r="D345" s="375"/>
      <c r="E345" s="376"/>
      <c r="F345" s="374" t="s">
        <v>433</v>
      </c>
      <c r="G345" s="375"/>
      <c r="H345" s="376"/>
      <c r="I345" s="374" t="s">
        <v>434</v>
      </c>
      <c r="J345" s="375"/>
      <c r="K345" s="376"/>
      <c r="L345" s="374" t="s">
        <v>435</v>
      </c>
      <c r="M345" s="375"/>
      <c r="N345" s="376"/>
      <c r="O345" s="374" t="s">
        <v>436</v>
      </c>
      <c r="P345" s="375"/>
      <c r="Q345" s="376"/>
      <c r="R345" s="374" t="s">
        <v>437</v>
      </c>
      <c r="S345" s="375"/>
      <c r="T345" s="376"/>
      <c r="U345" s="374" t="s">
        <v>438</v>
      </c>
      <c r="V345" s="375"/>
      <c r="W345" s="376"/>
      <c r="X345" s="374" t="s">
        <v>439</v>
      </c>
      <c r="Y345" s="375"/>
      <c r="Z345" s="376"/>
      <c r="AA345" s="374" t="s">
        <v>440</v>
      </c>
      <c r="AB345" s="375"/>
      <c r="AC345" s="376"/>
      <c r="AD345" s="374" t="s">
        <v>441</v>
      </c>
      <c r="AE345" s="375"/>
      <c r="AF345" s="376"/>
      <c r="AG345" s="374" t="s">
        <v>442</v>
      </c>
      <c r="AH345" s="375"/>
      <c r="AI345" s="376"/>
      <c r="AJ345" s="374" t="s">
        <v>443</v>
      </c>
      <c r="AK345" s="375"/>
      <c r="AL345" s="376"/>
    </row>
    <row r="346" spans="2:38" s="47" customFormat="1" ht="12.75" customHeight="1">
      <c r="B346" s="378"/>
      <c r="C346" s="367" t="s">
        <v>66</v>
      </c>
      <c r="D346" s="370" t="s">
        <v>67</v>
      </c>
      <c r="E346" s="371"/>
      <c r="F346" s="367" t="s">
        <v>66</v>
      </c>
      <c r="G346" s="370" t="s">
        <v>67</v>
      </c>
      <c r="H346" s="371"/>
      <c r="I346" s="367" t="s">
        <v>66</v>
      </c>
      <c r="J346" s="370" t="s">
        <v>67</v>
      </c>
      <c r="K346" s="371"/>
      <c r="L346" s="367" t="s">
        <v>66</v>
      </c>
      <c r="M346" s="370" t="s">
        <v>67</v>
      </c>
      <c r="N346" s="371"/>
      <c r="O346" s="367" t="s">
        <v>66</v>
      </c>
      <c r="P346" s="370" t="s">
        <v>67</v>
      </c>
      <c r="Q346" s="371"/>
      <c r="R346" s="367" t="s">
        <v>66</v>
      </c>
      <c r="S346" s="370" t="s">
        <v>67</v>
      </c>
      <c r="T346" s="371"/>
      <c r="U346" s="367" t="s">
        <v>66</v>
      </c>
      <c r="V346" s="370" t="s">
        <v>67</v>
      </c>
      <c r="W346" s="371"/>
      <c r="X346" s="367" t="s">
        <v>66</v>
      </c>
      <c r="Y346" s="370" t="s">
        <v>67</v>
      </c>
      <c r="Z346" s="371"/>
      <c r="AA346" s="367" t="s">
        <v>66</v>
      </c>
      <c r="AB346" s="370" t="s">
        <v>67</v>
      </c>
      <c r="AC346" s="371"/>
      <c r="AD346" s="367" t="s">
        <v>66</v>
      </c>
      <c r="AE346" s="370" t="s">
        <v>67</v>
      </c>
      <c r="AF346" s="371"/>
      <c r="AG346" s="367" t="s">
        <v>66</v>
      </c>
      <c r="AH346" s="370" t="s">
        <v>67</v>
      </c>
      <c r="AI346" s="371"/>
      <c r="AJ346" s="367" t="s">
        <v>66</v>
      </c>
      <c r="AK346" s="370" t="s">
        <v>67</v>
      </c>
      <c r="AL346" s="371"/>
    </row>
    <row r="347" spans="2:38" s="47" customFormat="1" ht="13.5" thickBot="1">
      <c r="B347" s="379"/>
      <c r="C347" s="368"/>
      <c r="D347" s="372"/>
      <c r="E347" s="373"/>
      <c r="F347" s="368"/>
      <c r="G347" s="372"/>
      <c r="H347" s="373"/>
      <c r="I347" s="368"/>
      <c r="J347" s="372"/>
      <c r="K347" s="373"/>
      <c r="L347" s="368"/>
      <c r="M347" s="372"/>
      <c r="N347" s="373"/>
      <c r="O347" s="368"/>
      <c r="P347" s="372"/>
      <c r="Q347" s="373"/>
      <c r="R347" s="368"/>
      <c r="S347" s="372"/>
      <c r="T347" s="373"/>
      <c r="U347" s="368"/>
      <c r="V347" s="372"/>
      <c r="W347" s="373"/>
      <c r="X347" s="368"/>
      <c r="Y347" s="372"/>
      <c r="Z347" s="373"/>
      <c r="AA347" s="368"/>
      <c r="AB347" s="372"/>
      <c r="AC347" s="373"/>
      <c r="AD347" s="368"/>
      <c r="AE347" s="372"/>
      <c r="AF347" s="373"/>
      <c r="AG347" s="368"/>
      <c r="AH347" s="372"/>
      <c r="AI347" s="373"/>
      <c r="AJ347" s="368"/>
      <c r="AK347" s="372"/>
      <c r="AL347" s="373"/>
    </row>
    <row r="348" spans="2:38" s="47" customFormat="1" ht="26.25" thickBot="1">
      <c r="B348" s="380"/>
      <c r="C348" s="96" t="s">
        <v>68</v>
      </c>
      <c r="D348" s="97" t="s">
        <v>69</v>
      </c>
      <c r="E348" s="98" t="s">
        <v>70</v>
      </c>
      <c r="F348" s="96" t="s">
        <v>68</v>
      </c>
      <c r="G348" s="97" t="s">
        <v>69</v>
      </c>
      <c r="H348" s="98" t="s">
        <v>70</v>
      </c>
      <c r="I348" s="96" t="s">
        <v>68</v>
      </c>
      <c r="J348" s="97" t="s">
        <v>69</v>
      </c>
      <c r="K348" s="98" t="s">
        <v>70</v>
      </c>
      <c r="L348" s="96" t="s">
        <v>68</v>
      </c>
      <c r="M348" s="97" t="s">
        <v>69</v>
      </c>
      <c r="N348" s="98" t="s">
        <v>70</v>
      </c>
      <c r="O348" s="96" t="s">
        <v>68</v>
      </c>
      <c r="P348" s="97" t="s">
        <v>69</v>
      </c>
      <c r="Q348" s="98" t="s">
        <v>70</v>
      </c>
      <c r="R348" s="96" t="s">
        <v>68</v>
      </c>
      <c r="S348" s="97" t="s">
        <v>69</v>
      </c>
      <c r="T348" s="98" t="s">
        <v>70</v>
      </c>
      <c r="U348" s="96" t="s">
        <v>68</v>
      </c>
      <c r="V348" s="97" t="s">
        <v>69</v>
      </c>
      <c r="W348" s="98" t="s">
        <v>70</v>
      </c>
      <c r="X348" s="96" t="s">
        <v>68</v>
      </c>
      <c r="Y348" s="97" t="s">
        <v>69</v>
      </c>
      <c r="Z348" s="98" t="s">
        <v>70</v>
      </c>
      <c r="AA348" s="96" t="s">
        <v>68</v>
      </c>
      <c r="AB348" s="97" t="s">
        <v>69</v>
      </c>
      <c r="AC348" s="98" t="s">
        <v>70</v>
      </c>
      <c r="AD348" s="96" t="s">
        <v>68</v>
      </c>
      <c r="AE348" s="97" t="s">
        <v>69</v>
      </c>
      <c r="AF348" s="98" t="s">
        <v>70</v>
      </c>
      <c r="AG348" s="96" t="s">
        <v>68</v>
      </c>
      <c r="AH348" s="97" t="s">
        <v>69</v>
      </c>
      <c r="AI348" s="98" t="s">
        <v>70</v>
      </c>
      <c r="AJ348" s="96" t="s">
        <v>68</v>
      </c>
      <c r="AK348" s="97" t="s">
        <v>69</v>
      </c>
      <c r="AL348" s="98" t="s">
        <v>70</v>
      </c>
    </row>
    <row r="349" spans="2:38" s="47" customFormat="1" ht="12.75">
      <c r="B349" s="9" t="s">
        <v>251</v>
      </c>
      <c r="C349" s="103">
        <v>1</v>
      </c>
      <c r="D349" s="104">
        <v>0</v>
      </c>
      <c r="E349" s="105">
        <v>9</v>
      </c>
      <c r="F349" s="103">
        <v>0</v>
      </c>
      <c r="G349" s="104">
        <v>0</v>
      </c>
      <c r="H349" s="105">
        <v>14</v>
      </c>
      <c r="I349" s="103">
        <v>0</v>
      </c>
      <c r="J349" s="104">
        <v>0</v>
      </c>
      <c r="K349" s="105">
        <v>11</v>
      </c>
      <c r="L349" s="103">
        <v>0</v>
      </c>
      <c r="M349" s="104">
        <v>0</v>
      </c>
      <c r="N349" s="105">
        <v>0</v>
      </c>
      <c r="O349" s="103">
        <v>1</v>
      </c>
      <c r="P349" s="104">
        <v>0</v>
      </c>
      <c r="Q349" s="105">
        <v>0</v>
      </c>
      <c r="R349" s="103">
        <v>0</v>
      </c>
      <c r="S349" s="104">
        <v>0</v>
      </c>
      <c r="T349" s="105">
        <v>0</v>
      </c>
      <c r="U349" s="103">
        <v>0</v>
      </c>
      <c r="V349" s="104">
        <v>0</v>
      </c>
      <c r="W349" s="105">
        <v>0</v>
      </c>
      <c r="X349" s="103">
        <v>0</v>
      </c>
      <c r="Y349" s="104">
        <v>0</v>
      </c>
      <c r="Z349" s="105">
        <v>0</v>
      </c>
      <c r="AA349" s="103">
        <v>0</v>
      </c>
      <c r="AB349" s="104">
        <v>0</v>
      </c>
      <c r="AC349" s="105">
        <v>0</v>
      </c>
      <c r="AD349" s="103">
        <v>0</v>
      </c>
      <c r="AE349" s="104">
        <v>0</v>
      </c>
      <c r="AF349" s="105">
        <v>0</v>
      </c>
      <c r="AG349" s="103">
        <v>0</v>
      </c>
      <c r="AH349" s="104">
        <v>0</v>
      </c>
      <c r="AI349" s="105">
        <v>0</v>
      </c>
      <c r="AJ349" s="103">
        <v>0</v>
      </c>
      <c r="AK349" s="104">
        <v>0</v>
      </c>
      <c r="AL349" s="105">
        <v>0</v>
      </c>
    </row>
    <row r="350" spans="2:38" s="47" customFormat="1" ht="12.75">
      <c r="B350" s="8" t="s">
        <v>252</v>
      </c>
      <c r="C350" s="95">
        <v>0</v>
      </c>
      <c r="D350" s="85">
        <v>0</v>
      </c>
      <c r="E350" s="86">
        <v>0</v>
      </c>
      <c r="F350" s="95">
        <v>0</v>
      </c>
      <c r="G350" s="85">
        <v>0</v>
      </c>
      <c r="H350" s="86">
        <v>0</v>
      </c>
      <c r="I350" s="95">
        <v>0</v>
      </c>
      <c r="J350" s="85">
        <v>0</v>
      </c>
      <c r="K350" s="86">
        <v>0</v>
      </c>
      <c r="L350" s="95">
        <v>6</v>
      </c>
      <c r="M350" s="85">
        <v>0</v>
      </c>
      <c r="N350" s="86">
        <v>0</v>
      </c>
      <c r="O350" s="95">
        <v>4</v>
      </c>
      <c r="P350" s="85">
        <v>0</v>
      </c>
      <c r="Q350" s="86">
        <v>0</v>
      </c>
      <c r="R350" s="95">
        <v>9</v>
      </c>
      <c r="S350" s="85">
        <v>0</v>
      </c>
      <c r="T350" s="86">
        <v>0</v>
      </c>
      <c r="U350" s="95">
        <v>11</v>
      </c>
      <c r="V350" s="85">
        <v>0</v>
      </c>
      <c r="W350" s="86">
        <v>0</v>
      </c>
      <c r="X350" s="95">
        <v>11</v>
      </c>
      <c r="Y350" s="85">
        <v>0</v>
      </c>
      <c r="Z350" s="86">
        <v>0</v>
      </c>
      <c r="AA350" s="95">
        <v>10</v>
      </c>
      <c r="AB350" s="85">
        <v>0</v>
      </c>
      <c r="AC350" s="86">
        <v>0</v>
      </c>
      <c r="AD350" s="95">
        <v>8</v>
      </c>
      <c r="AE350" s="85">
        <v>0</v>
      </c>
      <c r="AF350" s="86">
        <v>0</v>
      </c>
      <c r="AG350" s="95">
        <v>16</v>
      </c>
      <c r="AH350" s="85">
        <v>0</v>
      </c>
      <c r="AI350" s="86">
        <v>0</v>
      </c>
      <c r="AJ350" s="95">
        <v>3</v>
      </c>
      <c r="AK350" s="85">
        <v>0</v>
      </c>
      <c r="AL350" s="86">
        <v>0</v>
      </c>
    </row>
    <row r="351" spans="2:39" s="47" customFormat="1" ht="12.75">
      <c r="B351" s="6" t="s">
        <v>253</v>
      </c>
      <c r="C351" s="58">
        <v>3</v>
      </c>
      <c r="D351" s="55">
        <v>1</v>
      </c>
      <c r="E351" s="59">
        <v>25</v>
      </c>
      <c r="F351" s="58">
        <v>0</v>
      </c>
      <c r="G351" s="55">
        <v>0</v>
      </c>
      <c r="H351" s="59">
        <v>17</v>
      </c>
      <c r="I351" s="58">
        <v>2</v>
      </c>
      <c r="J351" s="55">
        <v>0</v>
      </c>
      <c r="K351" s="59">
        <v>8</v>
      </c>
      <c r="L351" s="58">
        <v>1</v>
      </c>
      <c r="M351" s="55">
        <v>0</v>
      </c>
      <c r="N351" s="59">
        <v>0</v>
      </c>
      <c r="O351" s="58">
        <v>1</v>
      </c>
      <c r="P351" s="55">
        <v>0</v>
      </c>
      <c r="Q351" s="59">
        <v>0</v>
      </c>
      <c r="R351" s="58">
        <v>1</v>
      </c>
      <c r="S351" s="55">
        <v>0</v>
      </c>
      <c r="T351" s="59">
        <v>0</v>
      </c>
      <c r="U351" s="58">
        <v>0</v>
      </c>
      <c r="V351" s="55">
        <v>0</v>
      </c>
      <c r="W351" s="59">
        <v>0</v>
      </c>
      <c r="X351" s="58">
        <v>0</v>
      </c>
      <c r="Y351" s="55">
        <v>0</v>
      </c>
      <c r="Z351" s="59">
        <v>0</v>
      </c>
      <c r="AA351" s="58">
        <v>0</v>
      </c>
      <c r="AB351" s="55">
        <v>0</v>
      </c>
      <c r="AC351" s="59">
        <v>0</v>
      </c>
      <c r="AD351" s="58">
        <v>1</v>
      </c>
      <c r="AE351" s="55">
        <v>0</v>
      </c>
      <c r="AF351" s="59">
        <v>0</v>
      </c>
      <c r="AG351" s="58">
        <v>0</v>
      </c>
      <c r="AH351" s="55">
        <v>0</v>
      </c>
      <c r="AI351" s="59">
        <v>0</v>
      </c>
      <c r="AJ351" s="58">
        <v>1</v>
      </c>
      <c r="AK351" s="55">
        <v>0</v>
      </c>
      <c r="AL351" s="59">
        <v>0</v>
      </c>
      <c r="AM351" s="311"/>
    </row>
    <row r="352" spans="2:38" s="47" customFormat="1" ht="12.75">
      <c r="B352" s="6" t="s">
        <v>254</v>
      </c>
      <c r="C352" s="58">
        <v>0</v>
      </c>
      <c r="D352" s="55">
        <v>0</v>
      </c>
      <c r="E352" s="59">
        <v>0</v>
      </c>
      <c r="F352" s="58">
        <v>0</v>
      </c>
      <c r="G352" s="55">
        <v>0</v>
      </c>
      <c r="H352" s="59">
        <v>0</v>
      </c>
      <c r="I352" s="58">
        <v>0</v>
      </c>
      <c r="J352" s="55">
        <v>0</v>
      </c>
      <c r="K352" s="59">
        <v>0</v>
      </c>
      <c r="L352" s="58">
        <v>7</v>
      </c>
      <c r="M352" s="55">
        <v>0</v>
      </c>
      <c r="N352" s="59">
        <v>0</v>
      </c>
      <c r="O352" s="58">
        <v>5</v>
      </c>
      <c r="P352" s="55">
        <v>0</v>
      </c>
      <c r="Q352" s="59">
        <v>0</v>
      </c>
      <c r="R352" s="58">
        <v>0</v>
      </c>
      <c r="S352" s="55">
        <v>0</v>
      </c>
      <c r="T352" s="59">
        <v>0</v>
      </c>
      <c r="U352" s="58">
        <v>11</v>
      </c>
      <c r="V352" s="55">
        <v>0</v>
      </c>
      <c r="W352" s="59">
        <v>0</v>
      </c>
      <c r="X352" s="58">
        <v>4</v>
      </c>
      <c r="Y352" s="55">
        <v>0</v>
      </c>
      <c r="Z352" s="59">
        <v>0</v>
      </c>
      <c r="AA352" s="58">
        <v>9</v>
      </c>
      <c r="AB352" s="55">
        <v>0</v>
      </c>
      <c r="AC352" s="59">
        <v>0</v>
      </c>
      <c r="AD352" s="58">
        <v>4</v>
      </c>
      <c r="AE352" s="55">
        <v>0</v>
      </c>
      <c r="AF352" s="59">
        <v>0</v>
      </c>
      <c r="AG352" s="58">
        <v>8</v>
      </c>
      <c r="AH352" s="55">
        <v>0</v>
      </c>
      <c r="AI352" s="59">
        <v>0</v>
      </c>
      <c r="AJ352" s="58">
        <v>2</v>
      </c>
      <c r="AK352" s="55">
        <v>0</v>
      </c>
      <c r="AL352" s="59">
        <v>0</v>
      </c>
    </row>
    <row r="353" spans="2:38" s="47" customFormat="1" ht="12.75">
      <c r="B353" s="6" t="s">
        <v>255</v>
      </c>
      <c r="C353" s="58">
        <v>1</v>
      </c>
      <c r="D353" s="55">
        <v>1</v>
      </c>
      <c r="E353" s="59">
        <v>116</v>
      </c>
      <c r="F353" s="58">
        <v>1</v>
      </c>
      <c r="G353" s="55">
        <v>1</v>
      </c>
      <c r="H353" s="59">
        <v>72</v>
      </c>
      <c r="I353" s="58">
        <v>3</v>
      </c>
      <c r="J353" s="55">
        <v>2</v>
      </c>
      <c r="K353" s="59">
        <v>56</v>
      </c>
      <c r="L353" s="58">
        <v>2</v>
      </c>
      <c r="M353" s="55">
        <v>0</v>
      </c>
      <c r="N353" s="59">
        <v>0</v>
      </c>
      <c r="O353" s="58">
        <v>1</v>
      </c>
      <c r="P353" s="55">
        <v>0</v>
      </c>
      <c r="Q353" s="59">
        <v>0</v>
      </c>
      <c r="R353" s="58">
        <v>5</v>
      </c>
      <c r="S353" s="55">
        <v>0</v>
      </c>
      <c r="T353" s="59">
        <v>0</v>
      </c>
      <c r="U353" s="58">
        <v>2</v>
      </c>
      <c r="V353" s="55">
        <v>0</v>
      </c>
      <c r="W353" s="59">
        <v>0</v>
      </c>
      <c r="X353" s="58">
        <v>0</v>
      </c>
      <c r="Y353" s="55">
        <v>0</v>
      </c>
      <c r="Z353" s="59">
        <v>0</v>
      </c>
      <c r="AA353" s="58">
        <v>6</v>
      </c>
      <c r="AB353" s="55">
        <v>0</v>
      </c>
      <c r="AC353" s="59">
        <v>0</v>
      </c>
      <c r="AD353" s="58">
        <v>0</v>
      </c>
      <c r="AE353" s="55">
        <v>0</v>
      </c>
      <c r="AF353" s="59">
        <v>0</v>
      </c>
      <c r="AG353" s="58">
        <v>2</v>
      </c>
      <c r="AH353" s="55">
        <v>0</v>
      </c>
      <c r="AI353" s="59">
        <v>0</v>
      </c>
      <c r="AJ353" s="58">
        <v>5</v>
      </c>
      <c r="AK353" s="55">
        <v>0</v>
      </c>
      <c r="AL353" s="59">
        <v>0</v>
      </c>
    </row>
    <row r="354" spans="2:38" s="47" customFormat="1" ht="12.75">
      <c r="B354" s="6" t="s">
        <v>256</v>
      </c>
      <c r="C354" s="58">
        <v>1</v>
      </c>
      <c r="D354" s="55">
        <v>1</v>
      </c>
      <c r="E354" s="59">
        <v>39</v>
      </c>
      <c r="F354" s="58">
        <v>0</v>
      </c>
      <c r="G354" s="55">
        <v>0</v>
      </c>
      <c r="H354" s="59">
        <v>23</v>
      </c>
      <c r="I354" s="58">
        <v>0</v>
      </c>
      <c r="J354" s="55">
        <v>0</v>
      </c>
      <c r="K354" s="59">
        <v>23</v>
      </c>
      <c r="L354" s="58">
        <v>1</v>
      </c>
      <c r="M354" s="55">
        <v>0</v>
      </c>
      <c r="N354" s="59">
        <v>0</v>
      </c>
      <c r="O354" s="58">
        <v>0</v>
      </c>
      <c r="P354" s="55">
        <v>0</v>
      </c>
      <c r="Q354" s="59">
        <v>0</v>
      </c>
      <c r="R354" s="58">
        <v>1</v>
      </c>
      <c r="S354" s="55">
        <v>0</v>
      </c>
      <c r="T354" s="59">
        <v>0</v>
      </c>
      <c r="U354" s="58">
        <v>0</v>
      </c>
      <c r="V354" s="55">
        <v>0</v>
      </c>
      <c r="W354" s="59">
        <v>0</v>
      </c>
      <c r="X354" s="58">
        <v>0</v>
      </c>
      <c r="Y354" s="55">
        <v>0</v>
      </c>
      <c r="Z354" s="59">
        <v>0</v>
      </c>
      <c r="AA354" s="58">
        <v>0</v>
      </c>
      <c r="AB354" s="55">
        <v>0</v>
      </c>
      <c r="AC354" s="59">
        <v>0</v>
      </c>
      <c r="AD354" s="58">
        <v>1</v>
      </c>
      <c r="AE354" s="55">
        <v>0</v>
      </c>
      <c r="AF354" s="59">
        <v>0</v>
      </c>
      <c r="AG354" s="58">
        <v>0</v>
      </c>
      <c r="AH354" s="55">
        <v>0</v>
      </c>
      <c r="AI354" s="59">
        <v>0</v>
      </c>
      <c r="AJ354" s="58">
        <v>0</v>
      </c>
      <c r="AK354" s="55">
        <v>0</v>
      </c>
      <c r="AL354" s="59">
        <v>0</v>
      </c>
    </row>
    <row r="355" spans="2:38" s="47" customFormat="1" ht="12.75">
      <c r="B355" s="6" t="s">
        <v>257</v>
      </c>
      <c r="C355" s="58">
        <v>1</v>
      </c>
      <c r="D355" s="55">
        <v>0</v>
      </c>
      <c r="E355" s="59">
        <v>28</v>
      </c>
      <c r="F355" s="58">
        <v>1</v>
      </c>
      <c r="G355" s="55">
        <v>2</v>
      </c>
      <c r="H355" s="59">
        <v>9</v>
      </c>
      <c r="I355" s="58">
        <v>1</v>
      </c>
      <c r="J355" s="55">
        <v>0</v>
      </c>
      <c r="K355" s="59">
        <v>8</v>
      </c>
      <c r="L355" s="58">
        <v>1</v>
      </c>
      <c r="M355" s="55">
        <v>0</v>
      </c>
      <c r="N355" s="59">
        <v>0</v>
      </c>
      <c r="O355" s="58">
        <v>1</v>
      </c>
      <c r="P355" s="55">
        <v>0</v>
      </c>
      <c r="Q355" s="59">
        <v>0</v>
      </c>
      <c r="R355" s="58">
        <v>1</v>
      </c>
      <c r="S355" s="55">
        <v>0</v>
      </c>
      <c r="T355" s="59">
        <v>0</v>
      </c>
      <c r="U355" s="58">
        <v>1</v>
      </c>
      <c r="V355" s="55">
        <v>0</v>
      </c>
      <c r="W355" s="59">
        <v>0</v>
      </c>
      <c r="X355" s="58">
        <v>0</v>
      </c>
      <c r="Y355" s="55">
        <v>0</v>
      </c>
      <c r="Z355" s="59">
        <v>0</v>
      </c>
      <c r="AA355" s="58">
        <v>0</v>
      </c>
      <c r="AB355" s="55">
        <v>0</v>
      </c>
      <c r="AC355" s="59">
        <v>0</v>
      </c>
      <c r="AD355" s="58">
        <v>0</v>
      </c>
      <c r="AE355" s="55">
        <v>0</v>
      </c>
      <c r="AF355" s="59">
        <v>0</v>
      </c>
      <c r="AG355" s="58">
        <v>0</v>
      </c>
      <c r="AH355" s="55">
        <v>0</v>
      </c>
      <c r="AI355" s="59">
        <v>0</v>
      </c>
      <c r="AJ355" s="58">
        <v>3</v>
      </c>
      <c r="AK355" s="55">
        <v>0</v>
      </c>
      <c r="AL355" s="59">
        <v>0</v>
      </c>
    </row>
    <row r="356" spans="2:38" s="47" customFormat="1" ht="13.5" thickBot="1">
      <c r="B356" s="7" t="s">
        <v>258</v>
      </c>
      <c r="C356" s="81">
        <v>0</v>
      </c>
      <c r="D356" s="70">
        <v>0</v>
      </c>
      <c r="E356" s="82">
        <v>0</v>
      </c>
      <c r="F356" s="81">
        <v>0</v>
      </c>
      <c r="G356" s="70">
        <v>0</v>
      </c>
      <c r="H356" s="82">
        <v>0</v>
      </c>
      <c r="I356" s="81">
        <v>0</v>
      </c>
      <c r="J356" s="70">
        <v>0</v>
      </c>
      <c r="K356" s="82">
        <v>0</v>
      </c>
      <c r="L356" s="81">
        <v>1</v>
      </c>
      <c r="M356" s="70">
        <v>0</v>
      </c>
      <c r="N356" s="82">
        <v>0</v>
      </c>
      <c r="O356" s="81">
        <v>1</v>
      </c>
      <c r="P356" s="70">
        <v>0</v>
      </c>
      <c r="Q356" s="82">
        <v>0</v>
      </c>
      <c r="R356" s="81">
        <v>0</v>
      </c>
      <c r="S356" s="70">
        <v>0</v>
      </c>
      <c r="T356" s="82">
        <v>0</v>
      </c>
      <c r="U356" s="81">
        <v>1</v>
      </c>
      <c r="V356" s="70">
        <v>0</v>
      </c>
      <c r="W356" s="82">
        <v>0</v>
      </c>
      <c r="X356" s="81">
        <v>0</v>
      </c>
      <c r="Y356" s="70">
        <v>0</v>
      </c>
      <c r="Z356" s="82">
        <v>0</v>
      </c>
      <c r="AA356" s="81">
        <v>0</v>
      </c>
      <c r="AB356" s="70">
        <v>0</v>
      </c>
      <c r="AC356" s="82">
        <v>0</v>
      </c>
      <c r="AD356" s="81">
        <v>0</v>
      </c>
      <c r="AE356" s="70">
        <v>0</v>
      </c>
      <c r="AF356" s="82">
        <v>0</v>
      </c>
      <c r="AG356" s="81">
        <v>0</v>
      </c>
      <c r="AH356" s="70">
        <v>0</v>
      </c>
      <c r="AI356" s="82">
        <v>0</v>
      </c>
      <c r="AJ356" s="81">
        <v>0</v>
      </c>
      <c r="AK356" s="70">
        <v>0</v>
      </c>
      <c r="AL356" s="82">
        <v>0</v>
      </c>
    </row>
    <row r="357" spans="2:38" s="47" customFormat="1" ht="13.5" thickBot="1">
      <c r="B357" s="83" t="s">
        <v>0</v>
      </c>
      <c r="C357" s="44">
        <f aca="true" t="shared" si="33" ref="C357:AL357">SUM(C349:C356)</f>
        <v>7</v>
      </c>
      <c r="D357" s="51">
        <f t="shared" si="33"/>
        <v>3</v>
      </c>
      <c r="E357" s="52">
        <f t="shared" si="33"/>
        <v>217</v>
      </c>
      <c r="F357" s="109">
        <f t="shared" si="33"/>
        <v>2</v>
      </c>
      <c r="G357" s="51">
        <f t="shared" si="33"/>
        <v>3</v>
      </c>
      <c r="H357" s="93">
        <f t="shared" si="33"/>
        <v>135</v>
      </c>
      <c r="I357" s="245">
        <f t="shared" si="33"/>
        <v>6</v>
      </c>
      <c r="J357" s="51">
        <f t="shared" si="33"/>
        <v>2</v>
      </c>
      <c r="K357" s="93">
        <f t="shared" si="33"/>
        <v>106</v>
      </c>
      <c r="L357" s="245">
        <f t="shared" si="33"/>
        <v>19</v>
      </c>
      <c r="M357" s="51">
        <f t="shared" si="33"/>
        <v>0</v>
      </c>
      <c r="N357" s="93">
        <f t="shared" si="33"/>
        <v>0</v>
      </c>
      <c r="O357" s="245">
        <f t="shared" si="33"/>
        <v>14</v>
      </c>
      <c r="P357" s="51">
        <f t="shared" si="33"/>
        <v>0</v>
      </c>
      <c r="Q357" s="93">
        <f t="shared" si="33"/>
        <v>0</v>
      </c>
      <c r="R357" s="245">
        <f t="shared" si="33"/>
        <v>17</v>
      </c>
      <c r="S357" s="51">
        <f t="shared" si="33"/>
        <v>0</v>
      </c>
      <c r="T357" s="93">
        <f t="shared" si="33"/>
        <v>0</v>
      </c>
      <c r="U357" s="245">
        <f t="shared" si="33"/>
        <v>26</v>
      </c>
      <c r="V357" s="51">
        <f t="shared" si="33"/>
        <v>0</v>
      </c>
      <c r="W357" s="93">
        <f t="shared" si="33"/>
        <v>0</v>
      </c>
      <c r="X357" s="245">
        <f t="shared" si="33"/>
        <v>15</v>
      </c>
      <c r="Y357" s="51">
        <f t="shared" si="33"/>
        <v>0</v>
      </c>
      <c r="Z357" s="93">
        <f t="shared" si="33"/>
        <v>0</v>
      </c>
      <c r="AA357" s="245">
        <f t="shared" si="33"/>
        <v>25</v>
      </c>
      <c r="AB357" s="51">
        <f t="shared" si="33"/>
        <v>0</v>
      </c>
      <c r="AC357" s="93">
        <f t="shared" si="33"/>
        <v>0</v>
      </c>
      <c r="AD357" s="245">
        <f t="shared" si="33"/>
        <v>14</v>
      </c>
      <c r="AE357" s="51">
        <f t="shared" si="33"/>
        <v>0</v>
      </c>
      <c r="AF357" s="93">
        <f t="shared" si="33"/>
        <v>0</v>
      </c>
      <c r="AG357" s="245">
        <f t="shared" si="33"/>
        <v>26</v>
      </c>
      <c r="AH357" s="51">
        <f t="shared" si="33"/>
        <v>0</v>
      </c>
      <c r="AI357" s="93">
        <f t="shared" si="33"/>
        <v>0</v>
      </c>
      <c r="AJ357" s="245">
        <f t="shared" si="33"/>
        <v>14</v>
      </c>
      <c r="AK357" s="51">
        <f t="shared" si="33"/>
        <v>0</v>
      </c>
      <c r="AL357" s="93">
        <f t="shared" si="33"/>
        <v>0</v>
      </c>
    </row>
    <row r="358" s="47" customFormat="1" ht="12.75"/>
    <row r="359" spans="2:5" s="47" customFormat="1" ht="12.75">
      <c r="B359" s="369"/>
      <c r="C359" s="369"/>
      <c r="D359" s="369"/>
      <c r="E359" s="369"/>
    </row>
    <row r="360" s="47" customFormat="1" ht="12.75"/>
    <row r="361" spans="2:5" s="47" customFormat="1" ht="12.75">
      <c r="B361" s="383" t="s">
        <v>90</v>
      </c>
      <c r="C361" s="383"/>
      <c r="D361" s="383"/>
      <c r="E361" s="383"/>
    </row>
    <row r="362" spans="2:5" s="47" customFormat="1" ht="12.75">
      <c r="B362" s="60"/>
      <c r="C362" s="60"/>
      <c r="D362" s="60"/>
      <c r="E362" s="60"/>
    </row>
    <row r="363" spans="2:5" s="47" customFormat="1" ht="12.75">
      <c r="B363" s="383" t="s">
        <v>41</v>
      </c>
      <c r="C363" s="383"/>
      <c r="D363" s="383"/>
      <c r="E363" s="383"/>
    </row>
    <row r="364" spans="2:5" s="47" customFormat="1" ht="12.75">
      <c r="B364" s="60"/>
      <c r="C364" s="60"/>
      <c r="D364" s="60"/>
      <c r="E364" s="60"/>
    </row>
    <row r="365" spans="2:5" s="47" customFormat="1" ht="12.75">
      <c r="B365" s="383" t="s">
        <v>86</v>
      </c>
      <c r="C365" s="383"/>
      <c r="D365" s="383"/>
      <c r="E365" s="383"/>
    </row>
    <row r="366" spans="2:5" s="47" customFormat="1" ht="12.75">
      <c r="B366" s="60"/>
      <c r="C366" s="60"/>
      <c r="D366" s="60"/>
      <c r="E366" s="60"/>
    </row>
    <row r="367" spans="2:5" s="47" customFormat="1" ht="12.75">
      <c r="B367" s="383">
        <v>2016</v>
      </c>
      <c r="C367" s="383"/>
      <c r="D367" s="383"/>
      <c r="E367" s="383"/>
    </row>
    <row r="368" spans="2:5" s="47" customFormat="1" ht="13.5" thickBot="1">
      <c r="B368" s="4"/>
      <c r="C368" s="4"/>
      <c r="D368" s="4"/>
      <c r="E368" s="4"/>
    </row>
    <row r="369" spans="2:38" s="47" customFormat="1" ht="13.5" customHeight="1" thickBot="1">
      <c r="B369" s="377" t="s">
        <v>394</v>
      </c>
      <c r="C369" s="374" t="s">
        <v>7</v>
      </c>
      <c r="D369" s="375"/>
      <c r="E369" s="376"/>
      <c r="F369" s="374" t="s">
        <v>433</v>
      </c>
      <c r="G369" s="375"/>
      <c r="H369" s="376"/>
      <c r="I369" s="374" t="s">
        <v>434</v>
      </c>
      <c r="J369" s="375"/>
      <c r="K369" s="376"/>
      <c r="L369" s="374" t="s">
        <v>435</v>
      </c>
      <c r="M369" s="375"/>
      <c r="N369" s="376"/>
      <c r="O369" s="374" t="s">
        <v>436</v>
      </c>
      <c r="P369" s="375"/>
      <c r="Q369" s="376"/>
      <c r="R369" s="374" t="s">
        <v>437</v>
      </c>
      <c r="S369" s="375"/>
      <c r="T369" s="376"/>
      <c r="U369" s="374" t="s">
        <v>438</v>
      </c>
      <c r="V369" s="375"/>
      <c r="W369" s="376"/>
      <c r="X369" s="374" t="s">
        <v>439</v>
      </c>
      <c r="Y369" s="375"/>
      <c r="Z369" s="376"/>
      <c r="AA369" s="374" t="s">
        <v>440</v>
      </c>
      <c r="AB369" s="375"/>
      <c r="AC369" s="376"/>
      <c r="AD369" s="374" t="s">
        <v>441</v>
      </c>
      <c r="AE369" s="375"/>
      <c r="AF369" s="376"/>
      <c r="AG369" s="374" t="s">
        <v>442</v>
      </c>
      <c r="AH369" s="375"/>
      <c r="AI369" s="376"/>
      <c r="AJ369" s="374" t="s">
        <v>443</v>
      </c>
      <c r="AK369" s="375"/>
      <c r="AL369" s="376"/>
    </row>
    <row r="370" spans="2:38" s="47" customFormat="1" ht="12.75" customHeight="1">
      <c r="B370" s="378"/>
      <c r="C370" s="367" t="s">
        <v>66</v>
      </c>
      <c r="D370" s="370" t="s">
        <v>67</v>
      </c>
      <c r="E370" s="371"/>
      <c r="F370" s="367" t="s">
        <v>66</v>
      </c>
      <c r="G370" s="370" t="s">
        <v>67</v>
      </c>
      <c r="H370" s="371"/>
      <c r="I370" s="367" t="s">
        <v>66</v>
      </c>
      <c r="J370" s="370" t="s">
        <v>67</v>
      </c>
      <c r="K370" s="371"/>
      <c r="L370" s="367" t="s">
        <v>66</v>
      </c>
      <c r="M370" s="370" t="s">
        <v>67</v>
      </c>
      <c r="N370" s="371"/>
      <c r="O370" s="367" t="s">
        <v>66</v>
      </c>
      <c r="P370" s="370" t="s">
        <v>67</v>
      </c>
      <c r="Q370" s="371"/>
      <c r="R370" s="367" t="s">
        <v>66</v>
      </c>
      <c r="S370" s="370" t="s">
        <v>67</v>
      </c>
      <c r="T370" s="371"/>
      <c r="U370" s="367" t="s">
        <v>66</v>
      </c>
      <c r="V370" s="370" t="s">
        <v>67</v>
      </c>
      <c r="W370" s="371"/>
      <c r="X370" s="367" t="s">
        <v>66</v>
      </c>
      <c r="Y370" s="370" t="s">
        <v>67</v>
      </c>
      <c r="Z370" s="371"/>
      <c r="AA370" s="367" t="s">
        <v>66</v>
      </c>
      <c r="AB370" s="370" t="s">
        <v>67</v>
      </c>
      <c r="AC370" s="371"/>
      <c r="AD370" s="367" t="s">
        <v>66</v>
      </c>
      <c r="AE370" s="370" t="s">
        <v>67</v>
      </c>
      <c r="AF370" s="371"/>
      <c r="AG370" s="367" t="s">
        <v>66</v>
      </c>
      <c r="AH370" s="370" t="s">
        <v>67</v>
      </c>
      <c r="AI370" s="371"/>
      <c r="AJ370" s="367" t="s">
        <v>66</v>
      </c>
      <c r="AK370" s="370" t="s">
        <v>67</v>
      </c>
      <c r="AL370" s="371"/>
    </row>
    <row r="371" spans="2:38" s="47" customFormat="1" ht="13.5" thickBot="1">
      <c r="B371" s="379"/>
      <c r="C371" s="368"/>
      <c r="D371" s="372"/>
      <c r="E371" s="373"/>
      <c r="F371" s="368"/>
      <c r="G371" s="372"/>
      <c r="H371" s="373"/>
      <c r="I371" s="368"/>
      <c r="J371" s="372"/>
      <c r="K371" s="373"/>
      <c r="L371" s="368"/>
      <c r="M371" s="372"/>
      <c r="N371" s="373"/>
      <c r="O371" s="368"/>
      <c r="P371" s="372"/>
      <c r="Q371" s="373"/>
      <c r="R371" s="368"/>
      <c r="S371" s="372"/>
      <c r="T371" s="373"/>
      <c r="U371" s="368"/>
      <c r="V371" s="372"/>
      <c r="W371" s="373"/>
      <c r="X371" s="368"/>
      <c r="Y371" s="372"/>
      <c r="Z371" s="373"/>
      <c r="AA371" s="368"/>
      <c r="AB371" s="372"/>
      <c r="AC371" s="373"/>
      <c r="AD371" s="368"/>
      <c r="AE371" s="372"/>
      <c r="AF371" s="373"/>
      <c r="AG371" s="368"/>
      <c r="AH371" s="372"/>
      <c r="AI371" s="373"/>
      <c r="AJ371" s="368"/>
      <c r="AK371" s="372"/>
      <c r="AL371" s="373"/>
    </row>
    <row r="372" spans="2:38" s="47" customFormat="1" ht="26.25" thickBot="1">
      <c r="B372" s="380"/>
      <c r="C372" s="96" t="s">
        <v>68</v>
      </c>
      <c r="D372" s="97" t="s">
        <v>69</v>
      </c>
      <c r="E372" s="98" t="s">
        <v>70</v>
      </c>
      <c r="F372" s="96" t="s">
        <v>68</v>
      </c>
      <c r="G372" s="97" t="s">
        <v>69</v>
      </c>
      <c r="H372" s="98" t="s">
        <v>70</v>
      </c>
      <c r="I372" s="96" t="s">
        <v>68</v>
      </c>
      <c r="J372" s="97" t="s">
        <v>69</v>
      </c>
      <c r="K372" s="98" t="s">
        <v>70</v>
      </c>
      <c r="L372" s="96" t="s">
        <v>68</v>
      </c>
      <c r="M372" s="97" t="s">
        <v>69</v>
      </c>
      <c r="N372" s="98" t="s">
        <v>70</v>
      </c>
      <c r="O372" s="96" t="s">
        <v>68</v>
      </c>
      <c r="P372" s="97" t="s">
        <v>69</v>
      </c>
      <c r="Q372" s="98" t="s">
        <v>70</v>
      </c>
      <c r="R372" s="96" t="s">
        <v>68</v>
      </c>
      <c r="S372" s="97" t="s">
        <v>69</v>
      </c>
      <c r="T372" s="98" t="s">
        <v>70</v>
      </c>
      <c r="U372" s="96" t="s">
        <v>68</v>
      </c>
      <c r="V372" s="97" t="s">
        <v>69</v>
      </c>
      <c r="W372" s="98" t="s">
        <v>70</v>
      </c>
      <c r="X372" s="96" t="s">
        <v>68</v>
      </c>
      <c r="Y372" s="97" t="s">
        <v>69</v>
      </c>
      <c r="Z372" s="98" t="s">
        <v>70</v>
      </c>
      <c r="AA372" s="96" t="s">
        <v>68</v>
      </c>
      <c r="AB372" s="97" t="s">
        <v>69</v>
      </c>
      <c r="AC372" s="98" t="s">
        <v>70</v>
      </c>
      <c r="AD372" s="96" t="s">
        <v>68</v>
      </c>
      <c r="AE372" s="97" t="s">
        <v>69</v>
      </c>
      <c r="AF372" s="98" t="s">
        <v>70</v>
      </c>
      <c r="AG372" s="96" t="s">
        <v>68</v>
      </c>
      <c r="AH372" s="97" t="s">
        <v>69</v>
      </c>
      <c r="AI372" s="98" t="s">
        <v>70</v>
      </c>
      <c r="AJ372" s="96" t="s">
        <v>68</v>
      </c>
      <c r="AK372" s="97" t="s">
        <v>69</v>
      </c>
      <c r="AL372" s="98" t="s">
        <v>70</v>
      </c>
    </row>
    <row r="373" spans="2:38" s="47" customFormat="1" ht="12.75">
      <c r="B373" s="5" t="s">
        <v>259</v>
      </c>
      <c r="C373" s="76">
        <v>0</v>
      </c>
      <c r="D373" s="65">
        <v>0</v>
      </c>
      <c r="E373" s="77">
        <v>6</v>
      </c>
      <c r="F373" s="76">
        <v>1</v>
      </c>
      <c r="G373" s="65">
        <v>0</v>
      </c>
      <c r="H373" s="77">
        <v>15</v>
      </c>
      <c r="I373" s="76">
        <v>1</v>
      </c>
      <c r="J373" s="65">
        <v>1</v>
      </c>
      <c r="K373" s="77">
        <v>12</v>
      </c>
      <c r="L373" s="76">
        <v>0</v>
      </c>
      <c r="M373" s="65">
        <v>0</v>
      </c>
      <c r="N373" s="77">
        <v>0</v>
      </c>
      <c r="O373" s="76">
        <v>0</v>
      </c>
      <c r="P373" s="65">
        <v>0</v>
      </c>
      <c r="Q373" s="77">
        <v>0</v>
      </c>
      <c r="R373" s="76">
        <v>0</v>
      </c>
      <c r="S373" s="65">
        <v>0</v>
      </c>
      <c r="T373" s="77">
        <v>0</v>
      </c>
      <c r="U373" s="76">
        <v>2</v>
      </c>
      <c r="V373" s="65">
        <v>0</v>
      </c>
      <c r="W373" s="77">
        <v>0</v>
      </c>
      <c r="X373" s="76">
        <v>1</v>
      </c>
      <c r="Y373" s="65">
        <v>0</v>
      </c>
      <c r="Z373" s="77">
        <v>0</v>
      </c>
      <c r="AA373" s="76">
        <v>1</v>
      </c>
      <c r="AB373" s="65">
        <v>0</v>
      </c>
      <c r="AC373" s="77">
        <v>0</v>
      </c>
      <c r="AD373" s="76">
        <v>0</v>
      </c>
      <c r="AE373" s="65">
        <v>0</v>
      </c>
      <c r="AF373" s="77">
        <v>0</v>
      </c>
      <c r="AG373" s="76">
        <v>1</v>
      </c>
      <c r="AH373" s="65">
        <v>0</v>
      </c>
      <c r="AI373" s="77">
        <v>0</v>
      </c>
      <c r="AJ373" s="76">
        <v>0</v>
      </c>
      <c r="AK373" s="65">
        <v>0</v>
      </c>
      <c r="AL373" s="77">
        <v>0</v>
      </c>
    </row>
    <row r="374" spans="2:38" s="47" customFormat="1" ht="12.75">
      <c r="B374" s="6" t="s">
        <v>260</v>
      </c>
      <c r="C374" s="58">
        <v>0</v>
      </c>
      <c r="D374" s="55">
        <v>0</v>
      </c>
      <c r="E374" s="59">
        <v>0</v>
      </c>
      <c r="F374" s="58">
        <v>0</v>
      </c>
      <c r="G374" s="55">
        <v>0</v>
      </c>
      <c r="H374" s="59">
        <v>9</v>
      </c>
      <c r="I374" s="58">
        <v>1</v>
      </c>
      <c r="J374" s="55">
        <v>0</v>
      </c>
      <c r="K374" s="59">
        <v>6</v>
      </c>
      <c r="L374" s="58">
        <v>0</v>
      </c>
      <c r="M374" s="55">
        <v>0</v>
      </c>
      <c r="N374" s="59">
        <v>0</v>
      </c>
      <c r="O374" s="58">
        <v>0</v>
      </c>
      <c r="P374" s="55">
        <v>0</v>
      </c>
      <c r="Q374" s="59">
        <v>0</v>
      </c>
      <c r="R374" s="58">
        <v>0</v>
      </c>
      <c r="S374" s="55">
        <v>0</v>
      </c>
      <c r="T374" s="59">
        <v>0</v>
      </c>
      <c r="U374" s="58">
        <v>0</v>
      </c>
      <c r="V374" s="55">
        <v>0</v>
      </c>
      <c r="W374" s="59">
        <v>0</v>
      </c>
      <c r="X374" s="58">
        <v>0</v>
      </c>
      <c r="Y374" s="55">
        <v>0</v>
      </c>
      <c r="Z374" s="59">
        <v>0</v>
      </c>
      <c r="AA374" s="58">
        <v>0</v>
      </c>
      <c r="AB374" s="55">
        <v>0</v>
      </c>
      <c r="AC374" s="59">
        <v>0</v>
      </c>
      <c r="AD374" s="58">
        <v>1</v>
      </c>
      <c r="AE374" s="55">
        <v>0</v>
      </c>
      <c r="AF374" s="59">
        <v>0</v>
      </c>
      <c r="AG374" s="58">
        <v>0</v>
      </c>
      <c r="AH374" s="55">
        <v>0</v>
      </c>
      <c r="AI374" s="59">
        <v>0</v>
      </c>
      <c r="AJ374" s="58">
        <v>0</v>
      </c>
      <c r="AK374" s="55">
        <v>0</v>
      </c>
      <c r="AL374" s="59">
        <v>0</v>
      </c>
    </row>
    <row r="375" spans="2:38" s="47" customFormat="1" ht="12.75">
      <c r="B375" s="6" t="s">
        <v>261</v>
      </c>
      <c r="C375" s="58">
        <v>0</v>
      </c>
      <c r="D375" s="55">
        <v>0</v>
      </c>
      <c r="E375" s="59">
        <v>0</v>
      </c>
      <c r="F375" s="58">
        <v>2</v>
      </c>
      <c r="G375" s="55">
        <v>2</v>
      </c>
      <c r="H375" s="59">
        <v>44</v>
      </c>
      <c r="I375" s="58">
        <v>3</v>
      </c>
      <c r="J375" s="55">
        <v>2</v>
      </c>
      <c r="K375" s="59">
        <v>48</v>
      </c>
      <c r="L375" s="58">
        <v>4</v>
      </c>
      <c r="M375" s="55">
        <v>0</v>
      </c>
      <c r="N375" s="59">
        <v>0</v>
      </c>
      <c r="O375" s="58">
        <v>2</v>
      </c>
      <c r="P375" s="55">
        <v>0</v>
      </c>
      <c r="Q375" s="59">
        <v>0</v>
      </c>
      <c r="R375" s="58">
        <v>0</v>
      </c>
      <c r="S375" s="55">
        <v>0</v>
      </c>
      <c r="T375" s="59">
        <v>0</v>
      </c>
      <c r="U375" s="58">
        <v>0</v>
      </c>
      <c r="V375" s="55">
        <v>0</v>
      </c>
      <c r="W375" s="59">
        <v>0</v>
      </c>
      <c r="X375" s="58">
        <v>0</v>
      </c>
      <c r="Y375" s="55">
        <v>0</v>
      </c>
      <c r="Z375" s="59">
        <v>0</v>
      </c>
      <c r="AA375" s="58">
        <v>3</v>
      </c>
      <c r="AB375" s="55">
        <v>0</v>
      </c>
      <c r="AC375" s="59">
        <v>0</v>
      </c>
      <c r="AD375" s="58">
        <v>2</v>
      </c>
      <c r="AE375" s="55">
        <v>0</v>
      </c>
      <c r="AF375" s="59">
        <v>0</v>
      </c>
      <c r="AG375" s="58">
        <v>1</v>
      </c>
      <c r="AH375" s="55">
        <v>0</v>
      </c>
      <c r="AI375" s="59">
        <v>0</v>
      </c>
      <c r="AJ375" s="58">
        <v>1</v>
      </c>
      <c r="AK375" s="55">
        <v>0</v>
      </c>
      <c r="AL375" s="59">
        <v>0</v>
      </c>
    </row>
    <row r="376" spans="2:38" s="47" customFormat="1" ht="12.75">
      <c r="B376" s="6" t="s">
        <v>262</v>
      </c>
      <c r="C376" s="58">
        <v>0</v>
      </c>
      <c r="D376" s="55">
        <v>0</v>
      </c>
      <c r="E376" s="59">
        <v>0</v>
      </c>
      <c r="F376" s="58">
        <v>0</v>
      </c>
      <c r="G376" s="55">
        <v>1</v>
      </c>
      <c r="H376" s="59">
        <v>11</v>
      </c>
      <c r="I376" s="58">
        <v>0</v>
      </c>
      <c r="J376" s="55">
        <v>0</v>
      </c>
      <c r="K376" s="59">
        <v>19</v>
      </c>
      <c r="L376" s="58">
        <v>1</v>
      </c>
      <c r="M376" s="55">
        <v>0</v>
      </c>
      <c r="N376" s="59">
        <v>0</v>
      </c>
      <c r="O376" s="58">
        <v>0</v>
      </c>
      <c r="P376" s="55">
        <v>0</v>
      </c>
      <c r="Q376" s="59">
        <v>0</v>
      </c>
      <c r="R376" s="58">
        <v>0</v>
      </c>
      <c r="S376" s="55">
        <v>0</v>
      </c>
      <c r="T376" s="59">
        <v>0</v>
      </c>
      <c r="U376" s="58">
        <v>0</v>
      </c>
      <c r="V376" s="55">
        <v>0</v>
      </c>
      <c r="W376" s="59">
        <v>0</v>
      </c>
      <c r="X376" s="58">
        <v>0</v>
      </c>
      <c r="Y376" s="55">
        <v>0</v>
      </c>
      <c r="Z376" s="59">
        <v>0</v>
      </c>
      <c r="AA376" s="58">
        <v>0</v>
      </c>
      <c r="AB376" s="55">
        <v>0</v>
      </c>
      <c r="AC376" s="59">
        <v>0</v>
      </c>
      <c r="AD376" s="58">
        <v>0</v>
      </c>
      <c r="AE376" s="55">
        <v>0</v>
      </c>
      <c r="AF376" s="59">
        <v>0</v>
      </c>
      <c r="AG376" s="58">
        <v>1</v>
      </c>
      <c r="AH376" s="55">
        <v>0</v>
      </c>
      <c r="AI376" s="59">
        <v>0</v>
      </c>
      <c r="AJ376" s="58">
        <v>1</v>
      </c>
      <c r="AK376" s="55">
        <v>0</v>
      </c>
      <c r="AL376" s="59">
        <v>0</v>
      </c>
    </row>
    <row r="377" spans="2:38" s="47" customFormat="1" ht="12.75">
      <c r="B377" s="6" t="s">
        <v>263</v>
      </c>
      <c r="C377" s="58">
        <v>0</v>
      </c>
      <c r="D377" s="55">
        <v>0</v>
      </c>
      <c r="E377" s="59">
        <v>30</v>
      </c>
      <c r="F377" s="58">
        <v>2</v>
      </c>
      <c r="G377" s="55">
        <v>1</v>
      </c>
      <c r="H377" s="59">
        <v>15</v>
      </c>
      <c r="I377" s="58">
        <v>1</v>
      </c>
      <c r="J377" s="55">
        <v>0</v>
      </c>
      <c r="K377" s="59">
        <v>9</v>
      </c>
      <c r="L377" s="58">
        <v>0</v>
      </c>
      <c r="M377" s="55">
        <v>0</v>
      </c>
      <c r="N377" s="59">
        <v>0</v>
      </c>
      <c r="O377" s="58">
        <v>2</v>
      </c>
      <c r="P377" s="55">
        <v>0</v>
      </c>
      <c r="Q377" s="59">
        <v>0</v>
      </c>
      <c r="R377" s="58">
        <v>2</v>
      </c>
      <c r="S377" s="55">
        <v>0</v>
      </c>
      <c r="T377" s="59">
        <v>0</v>
      </c>
      <c r="U377" s="58">
        <v>0</v>
      </c>
      <c r="V377" s="55">
        <v>0</v>
      </c>
      <c r="W377" s="59">
        <v>0</v>
      </c>
      <c r="X377" s="58">
        <v>0</v>
      </c>
      <c r="Y377" s="55">
        <v>0</v>
      </c>
      <c r="Z377" s="59">
        <v>0</v>
      </c>
      <c r="AA377" s="58">
        <v>1</v>
      </c>
      <c r="AB377" s="55">
        <v>0</v>
      </c>
      <c r="AC377" s="59">
        <v>0</v>
      </c>
      <c r="AD377" s="58">
        <v>0</v>
      </c>
      <c r="AE377" s="55">
        <v>0</v>
      </c>
      <c r="AF377" s="59">
        <v>0</v>
      </c>
      <c r="AG377" s="58">
        <v>0</v>
      </c>
      <c r="AH377" s="55">
        <v>0</v>
      </c>
      <c r="AI377" s="59">
        <v>0</v>
      </c>
      <c r="AJ377" s="58">
        <v>0</v>
      </c>
      <c r="AK377" s="55">
        <v>0</v>
      </c>
      <c r="AL377" s="59">
        <v>0</v>
      </c>
    </row>
    <row r="378" spans="2:38" s="47" customFormat="1" ht="12.75">
      <c r="B378" s="6" t="s">
        <v>264</v>
      </c>
      <c r="C378" s="58">
        <v>1</v>
      </c>
      <c r="D378" s="55">
        <v>1</v>
      </c>
      <c r="E378" s="59">
        <v>5</v>
      </c>
      <c r="F378" s="58">
        <v>1</v>
      </c>
      <c r="G378" s="55">
        <v>1</v>
      </c>
      <c r="H378" s="59">
        <v>4</v>
      </c>
      <c r="I378" s="58">
        <v>0</v>
      </c>
      <c r="J378" s="55">
        <v>0</v>
      </c>
      <c r="K378" s="59">
        <v>9</v>
      </c>
      <c r="L378" s="58">
        <v>0</v>
      </c>
      <c r="M378" s="55">
        <v>0</v>
      </c>
      <c r="N378" s="59">
        <v>0</v>
      </c>
      <c r="O378" s="58">
        <v>0</v>
      </c>
      <c r="P378" s="55">
        <v>0</v>
      </c>
      <c r="Q378" s="59">
        <v>0</v>
      </c>
      <c r="R378" s="58">
        <v>0</v>
      </c>
      <c r="S378" s="55">
        <v>0</v>
      </c>
      <c r="T378" s="59">
        <v>0</v>
      </c>
      <c r="U378" s="58">
        <v>0</v>
      </c>
      <c r="V378" s="55">
        <v>0</v>
      </c>
      <c r="W378" s="59">
        <v>0</v>
      </c>
      <c r="X378" s="58">
        <v>0</v>
      </c>
      <c r="Y378" s="55">
        <v>0</v>
      </c>
      <c r="Z378" s="59">
        <v>0</v>
      </c>
      <c r="AA378" s="58">
        <v>0</v>
      </c>
      <c r="AB378" s="55">
        <v>0</v>
      </c>
      <c r="AC378" s="59">
        <v>0</v>
      </c>
      <c r="AD378" s="58">
        <v>0</v>
      </c>
      <c r="AE378" s="55">
        <v>0</v>
      </c>
      <c r="AF378" s="59">
        <v>0</v>
      </c>
      <c r="AG378" s="58">
        <v>0</v>
      </c>
      <c r="AH378" s="55">
        <v>0</v>
      </c>
      <c r="AI378" s="59">
        <v>0</v>
      </c>
      <c r="AJ378" s="58">
        <v>0</v>
      </c>
      <c r="AK378" s="55">
        <v>0</v>
      </c>
      <c r="AL378" s="59">
        <v>0</v>
      </c>
    </row>
    <row r="379" spans="2:38" s="47" customFormat="1" ht="12.75">
      <c r="B379" s="6" t="s">
        <v>265</v>
      </c>
      <c r="C379" s="58">
        <v>0</v>
      </c>
      <c r="D379" s="55">
        <v>0</v>
      </c>
      <c r="E379" s="59">
        <v>2</v>
      </c>
      <c r="F379" s="58">
        <v>0</v>
      </c>
      <c r="G379" s="55">
        <v>0</v>
      </c>
      <c r="H379" s="59">
        <v>10</v>
      </c>
      <c r="I379" s="58">
        <v>0</v>
      </c>
      <c r="J379" s="55">
        <v>0</v>
      </c>
      <c r="K379" s="59">
        <v>4</v>
      </c>
      <c r="L379" s="58">
        <v>0</v>
      </c>
      <c r="M379" s="55">
        <v>0</v>
      </c>
      <c r="N379" s="59">
        <v>0</v>
      </c>
      <c r="O379" s="58">
        <v>0</v>
      </c>
      <c r="P379" s="55">
        <v>0</v>
      </c>
      <c r="Q379" s="59">
        <v>0</v>
      </c>
      <c r="R379" s="58">
        <v>0</v>
      </c>
      <c r="S379" s="55">
        <v>0</v>
      </c>
      <c r="T379" s="59">
        <v>0</v>
      </c>
      <c r="U379" s="58">
        <v>0</v>
      </c>
      <c r="V379" s="55">
        <v>0</v>
      </c>
      <c r="W379" s="59">
        <v>0</v>
      </c>
      <c r="X379" s="58">
        <v>0</v>
      </c>
      <c r="Y379" s="55">
        <v>0</v>
      </c>
      <c r="Z379" s="59">
        <v>0</v>
      </c>
      <c r="AA379" s="58">
        <v>0</v>
      </c>
      <c r="AB379" s="55">
        <v>0</v>
      </c>
      <c r="AC379" s="59">
        <v>0</v>
      </c>
      <c r="AD379" s="58">
        <v>0</v>
      </c>
      <c r="AE379" s="55">
        <v>0</v>
      </c>
      <c r="AF379" s="59">
        <v>0</v>
      </c>
      <c r="AG379" s="58">
        <v>0</v>
      </c>
      <c r="AH379" s="55">
        <v>0</v>
      </c>
      <c r="AI379" s="59">
        <v>0</v>
      </c>
      <c r="AJ379" s="58">
        <v>0</v>
      </c>
      <c r="AK379" s="55">
        <v>0</v>
      </c>
      <c r="AL379" s="59">
        <v>0</v>
      </c>
    </row>
    <row r="380" spans="2:38" s="47" customFormat="1" ht="12.75">
      <c r="B380" s="6" t="s">
        <v>266</v>
      </c>
      <c r="C380" s="58">
        <v>0</v>
      </c>
      <c r="D380" s="55">
        <v>0</v>
      </c>
      <c r="E380" s="59">
        <v>11</v>
      </c>
      <c r="F380" s="58">
        <v>0</v>
      </c>
      <c r="G380" s="55">
        <v>0</v>
      </c>
      <c r="H380" s="59">
        <v>17</v>
      </c>
      <c r="I380" s="58">
        <v>0</v>
      </c>
      <c r="J380" s="55">
        <v>0</v>
      </c>
      <c r="K380" s="59">
        <v>7</v>
      </c>
      <c r="L380" s="58">
        <v>0</v>
      </c>
      <c r="M380" s="55">
        <v>0</v>
      </c>
      <c r="N380" s="59">
        <v>0</v>
      </c>
      <c r="O380" s="58">
        <v>0</v>
      </c>
      <c r="P380" s="55">
        <v>0</v>
      </c>
      <c r="Q380" s="59">
        <v>0</v>
      </c>
      <c r="R380" s="58">
        <v>0</v>
      </c>
      <c r="S380" s="55">
        <v>0</v>
      </c>
      <c r="T380" s="59">
        <v>0</v>
      </c>
      <c r="U380" s="58">
        <v>0</v>
      </c>
      <c r="V380" s="55">
        <v>0</v>
      </c>
      <c r="W380" s="59">
        <v>0</v>
      </c>
      <c r="X380" s="58">
        <v>2</v>
      </c>
      <c r="Y380" s="55">
        <v>0</v>
      </c>
      <c r="Z380" s="59">
        <v>0</v>
      </c>
      <c r="AA380" s="58">
        <v>3</v>
      </c>
      <c r="AB380" s="55">
        <v>0</v>
      </c>
      <c r="AC380" s="59">
        <v>0</v>
      </c>
      <c r="AD380" s="58">
        <v>0</v>
      </c>
      <c r="AE380" s="55">
        <v>0</v>
      </c>
      <c r="AF380" s="59">
        <v>0</v>
      </c>
      <c r="AG380" s="58">
        <v>2</v>
      </c>
      <c r="AH380" s="55">
        <v>0</v>
      </c>
      <c r="AI380" s="59">
        <v>0</v>
      </c>
      <c r="AJ380" s="58">
        <v>0</v>
      </c>
      <c r="AK380" s="55">
        <v>0</v>
      </c>
      <c r="AL380" s="59">
        <v>0</v>
      </c>
    </row>
    <row r="381" spans="2:38" s="47" customFormat="1" ht="12.75">
      <c r="B381" s="6" t="s">
        <v>267</v>
      </c>
      <c r="C381" s="58">
        <v>0</v>
      </c>
      <c r="D381" s="55">
        <v>0</v>
      </c>
      <c r="E381" s="59">
        <v>0</v>
      </c>
      <c r="F381" s="58">
        <v>0</v>
      </c>
      <c r="G381" s="55">
        <v>0</v>
      </c>
      <c r="H381" s="59">
        <v>1</v>
      </c>
      <c r="I381" s="58">
        <v>1</v>
      </c>
      <c r="J381" s="55">
        <v>1</v>
      </c>
      <c r="K381" s="59">
        <v>2</v>
      </c>
      <c r="L381" s="58">
        <v>0</v>
      </c>
      <c r="M381" s="55">
        <v>0</v>
      </c>
      <c r="N381" s="59">
        <v>0</v>
      </c>
      <c r="O381" s="58">
        <v>0</v>
      </c>
      <c r="P381" s="55">
        <v>0</v>
      </c>
      <c r="Q381" s="59">
        <v>0</v>
      </c>
      <c r="R381" s="58">
        <v>0</v>
      </c>
      <c r="S381" s="55">
        <v>0</v>
      </c>
      <c r="T381" s="59">
        <v>1</v>
      </c>
      <c r="U381" s="58">
        <v>2</v>
      </c>
      <c r="V381" s="55">
        <v>0</v>
      </c>
      <c r="W381" s="59">
        <v>0</v>
      </c>
      <c r="X381" s="58">
        <v>0</v>
      </c>
      <c r="Y381" s="55">
        <v>0</v>
      </c>
      <c r="Z381" s="59">
        <v>0</v>
      </c>
      <c r="AA381" s="58">
        <v>3</v>
      </c>
      <c r="AB381" s="55">
        <v>0</v>
      </c>
      <c r="AC381" s="59">
        <v>0</v>
      </c>
      <c r="AD381" s="58">
        <v>0</v>
      </c>
      <c r="AE381" s="55">
        <v>0</v>
      </c>
      <c r="AF381" s="59">
        <v>0</v>
      </c>
      <c r="AG381" s="58">
        <v>0</v>
      </c>
      <c r="AH381" s="55">
        <v>0</v>
      </c>
      <c r="AI381" s="59">
        <v>2</v>
      </c>
      <c r="AJ381" s="58">
        <v>0</v>
      </c>
      <c r="AK381" s="55">
        <v>0</v>
      </c>
      <c r="AL381" s="59">
        <v>0</v>
      </c>
    </row>
    <row r="382" spans="2:38" s="47" customFormat="1" ht="12.75">
      <c r="B382" s="6" t="s">
        <v>268</v>
      </c>
      <c r="C382" s="58">
        <v>1</v>
      </c>
      <c r="D382" s="55">
        <v>1</v>
      </c>
      <c r="E382" s="59">
        <v>13</v>
      </c>
      <c r="F382" s="58">
        <v>0</v>
      </c>
      <c r="G382" s="55">
        <v>0</v>
      </c>
      <c r="H382" s="59">
        <v>5</v>
      </c>
      <c r="I382" s="58">
        <v>0</v>
      </c>
      <c r="J382" s="55">
        <v>0</v>
      </c>
      <c r="K382" s="59">
        <v>1</v>
      </c>
      <c r="L382" s="58">
        <v>0</v>
      </c>
      <c r="M382" s="55">
        <v>0</v>
      </c>
      <c r="N382" s="59">
        <v>0</v>
      </c>
      <c r="O382" s="58">
        <v>0</v>
      </c>
      <c r="P382" s="55">
        <v>0</v>
      </c>
      <c r="Q382" s="59">
        <v>0</v>
      </c>
      <c r="R382" s="58">
        <v>1</v>
      </c>
      <c r="S382" s="55">
        <v>0</v>
      </c>
      <c r="T382" s="59">
        <v>0</v>
      </c>
      <c r="U382" s="58">
        <v>0</v>
      </c>
      <c r="V382" s="55">
        <v>0</v>
      </c>
      <c r="W382" s="59">
        <v>0</v>
      </c>
      <c r="X382" s="58">
        <v>1</v>
      </c>
      <c r="Y382" s="55">
        <v>0</v>
      </c>
      <c r="Z382" s="59">
        <v>0</v>
      </c>
      <c r="AA382" s="58">
        <v>1</v>
      </c>
      <c r="AB382" s="55">
        <v>0</v>
      </c>
      <c r="AC382" s="59">
        <v>0</v>
      </c>
      <c r="AD382" s="58">
        <v>1</v>
      </c>
      <c r="AE382" s="55">
        <v>0</v>
      </c>
      <c r="AF382" s="59">
        <v>0</v>
      </c>
      <c r="AG382" s="58">
        <v>1</v>
      </c>
      <c r="AH382" s="55">
        <v>0</v>
      </c>
      <c r="AI382" s="59">
        <v>0</v>
      </c>
      <c r="AJ382" s="58">
        <v>3</v>
      </c>
      <c r="AK382" s="55">
        <v>0</v>
      </c>
      <c r="AL382" s="59">
        <v>0</v>
      </c>
    </row>
    <row r="383" spans="2:38" s="47" customFormat="1" ht="12.75">
      <c r="B383" s="6" t="s">
        <v>269</v>
      </c>
      <c r="C383" s="58">
        <v>0</v>
      </c>
      <c r="D383" s="55">
        <v>0</v>
      </c>
      <c r="E383" s="59">
        <v>0</v>
      </c>
      <c r="F383" s="58">
        <v>0</v>
      </c>
      <c r="G383" s="55">
        <v>0</v>
      </c>
      <c r="H383" s="59">
        <v>1</v>
      </c>
      <c r="I383" s="58">
        <v>0</v>
      </c>
      <c r="J383" s="55">
        <v>0</v>
      </c>
      <c r="K383" s="59">
        <v>1</v>
      </c>
      <c r="L383" s="58">
        <v>0</v>
      </c>
      <c r="M383" s="55">
        <v>0</v>
      </c>
      <c r="N383" s="59">
        <v>1</v>
      </c>
      <c r="O383" s="58">
        <v>0</v>
      </c>
      <c r="P383" s="55">
        <v>0</v>
      </c>
      <c r="Q383" s="59">
        <v>1</v>
      </c>
      <c r="R383" s="58">
        <v>0</v>
      </c>
      <c r="S383" s="55">
        <v>0</v>
      </c>
      <c r="T383" s="59">
        <v>1</v>
      </c>
      <c r="U383" s="58">
        <v>1</v>
      </c>
      <c r="V383" s="55">
        <v>0</v>
      </c>
      <c r="W383" s="59">
        <v>4</v>
      </c>
      <c r="X383" s="58">
        <v>0</v>
      </c>
      <c r="Y383" s="55">
        <v>0</v>
      </c>
      <c r="Z383" s="59">
        <v>1</v>
      </c>
      <c r="AA383" s="58">
        <v>0</v>
      </c>
      <c r="AB383" s="55">
        <v>0</v>
      </c>
      <c r="AC383" s="59">
        <v>0</v>
      </c>
      <c r="AD383" s="58">
        <v>0</v>
      </c>
      <c r="AE383" s="55">
        <v>0</v>
      </c>
      <c r="AF383" s="59">
        <v>0</v>
      </c>
      <c r="AG383" s="58">
        <v>0</v>
      </c>
      <c r="AH383" s="55">
        <v>0</v>
      </c>
      <c r="AI383" s="59">
        <v>0</v>
      </c>
      <c r="AJ383" s="58">
        <v>0</v>
      </c>
      <c r="AK383" s="55">
        <v>0</v>
      </c>
      <c r="AL383" s="59">
        <v>0</v>
      </c>
    </row>
    <row r="384" spans="2:38" s="47" customFormat="1" ht="12.75">
      <c r="B384" s="6" t="s">
        <v>270</v>
      </c>
      <c r="C384" s="58">
        <v>2</v>
      </c>
      <c r="D384" s="55">
        <v>0</v>
      </c>
      <c r="E384" s="59">
        <v>24</v>
      </c>
      <c r="F384" s="58">
        <v>1</v>
      </c>
      <c r="G384" s="55">
        <v>0</v>
      </c>
      <c r="H384" s="59">
        <v>19</v>
      </c>
      <c r="I384" s="58">
        <v>0</v>
      </c>
      <c r="J384" s="55">
        <v>0</v>
      </c>
      <c r="K384" s="59">
        <v>10</v>
      </c>
      <c r="L384" s="58">
        <v>0</v>
      </c>
      <c r="M384" s="55">
        <v>0</v>
      </c>
      <c r="N384" s="59">
        <v>12</v>
      </c>
      <c r="O384" s="58">
        <v>0</v>
      </c>
      <c r="P384" s="55">
        <v>0</v>
      </c>
      <c r="Q384" s="59">
        <v>6</v>
      </c>
      <c r="R384" s="58">
        <v>0</v>
      </c>
      <c r="S384" s="55">
        <v>0</v>
      </c>
      <c r="T384" s="59">
        <v>2</v>
      </c>
      <c r="U384" s="58">
        <v>2</v>
      </c>
      <c r="V384" s="55">
        <v>0</v>
      </c>
      <c r="W384" s="59">
        <v>6</v>
      </c>
      <c r="X384" s="58">
        <v>1</v>
      </c>
      <c r="Y384" s="55">
        <v>0</v>
      </c>
      <c r="Z384" s="59">
        <v>9</v>
      </c>
      <c r="AA384" s="58">
        <v>0</v>
      </c>
      <c r="AB384" s="55">
        <v>0</v>
      </c>
      <c r="AC384" s="59">
        <v>9</v>
      </c>
      <c r="AD384" s="58">
        <v>0</v>
      </c>
      <c r="AE384" s="55">
        <v>0</v>
      </c>
      <c r="AF384" s="59">
        <v>7</v>
      </c>
      <c r="AG384" s="58">
        <v>0</v>
      </c>
      <c r="AH384" s="55">
        <v>0</v>
      </c>
      <c r="AI384" s="59">
        <v>0</v>
      </c>
      <c r="AJ384" s="58">
        <v>0</v>
      </c>
      <c r="AK384" s="55">
        <v>0</v>
      </c>
      <c r="AL384" s="59">
        <v>3</v>
      </c>
    </row>
    <row r="385" spans="2:38" s="47" customFormat="1" ht="12.75">
      <c r="B385" s="6" t="s">
        <v>271</v>
      </c>
      <c r="C385" s="58">
        <v>17</v>
      </c>
      <c r="D385" s="55">
        <v>9</v>
      </c>
      <c r="E385" s="59">
        <v>228</v>
      </c>
      <c r="F385" s="58">
        <v>5</v>
      </c>
      <c r="G385" s="55">
        <v>5</v>
      </c>
      <c r="H385" s="59">
        <v>201</v>
      </c>
      <c r="I385" s="58">
        <v>10</v>
      </c>
      <c r="J385" s="55">
        <v>3</v>
      </c>
      <c r="K385" s="59">
        <v>161</v>
      </c>
      <c r="L385" s="58">
        <v>14</v>
      </c>
      <c r="M385" s="55">
        <v>0</v>
      </c>
      <c r="N385" s="59">
        <v>0</v>
      </c>
      <c r="O385" s="58">
        <v>0</v>
      </c>
      <c r="P385" s="55">
        <v>0</v>
      </c>
      <c r="Q385" s="59">
        <v>6</v>
      </c>
      <c r="R385" s="58">
        <v>8</v>
      </c>
      <c r="S385" s="55">
        <v>0</v>
      </c>
      <c r="T385" s="59">
        <v>0</v>
      </c>
      <c r="U385" s="58">
        <v>12</v>
      </c>
      <c r="V385" s="55">
        <v>0</v>
      </c>
      <c r="W385" s="59">
        <v>0</v>
      </c>
      <c r="X385" s="58">
        <v>7</v>
      </c>
      <c r="Y385" s="55">
        <v>0</v>
      </c>
      <c r="Z385" s="59">
        <v>0</v>
      </c>
      <c r="AA385" s="58">
        <v>7</v>
      </c>
      <c r="AB385" s="55">
        <v>0</v>
      </c>
      <c r="AC385" s="59">
        <v>0</v>
      </c>
      <c r="AD385" s="58">
        <v>15</v>
      </c>
      <c r="AE385" s="55">
        <v>0</v>
      </c>
      <c r="AF385" s="59">
        <v>0</v>
      </c>
      <c r="AG385" s="58">
        <v>13</v>
      </c>
      <c r="AH385" s="55">
        <v>0</v>
      </c>
      <c r="AI385" s="59">
        <v>0</v>
      </c>
      <c r="AJ385" s="58">
        <v>8</v>
      </c>
      <c r="AK385" s="55">
        <v>0</v>
      </c>
      <c r="AL385" s="59">
        <v>0</v>
      </c>
    </row>
    <row r="386" spans="2:38" s="47" customFormat="1" ht="12.75">
      <c r="B386" s="6" t="s">
        <v>272</v>
      </c>
      <c r="C386" s="58">
        <v>0</v>
      </c>
      <c r="D386" s="55">
        <v>0</v>
      </c>
      <c r="E386" s="59">
        <v>29</v>
      </c>
      <c r="F386" s="58">
        <v>0</v>
      </c>
      <c r="G386" s="55">
        <v>1</v>
      </c>
      <c r="H386" s="59">
        <v>2</v>
      </c>
      <c r="I386" s="58">
        <v>0</v>
      </c>
      <c r="J386" s="55">
        <v>0</v>
      </c>
      <c r="K386" s="59">
        <v>4</v>
      </c>
      <c r="L386" s="58">
        <v>0</v>
      </c>
      <c r="M386" s="55">
        <v>0</v>
      </c>
      <c r="N386" s="59">
        <v>4</v>
      </c>
      <c r="O386" s="58">
        <v>0</v>
      </c>
      <c r="P386" s="55">
        <v>0</v>
      </c>
      <c r="Q386" s="59">
        <v>0</v>
      </c>
      <c r="R386" s="58">
        <v>0</v>
      </c>
      <c r="S386" s="55">
        <v>0</v>
      </c>
      <c r="T386" s="59">
        <v>5</v>
      </c>
      <c r="U386" s="58">
        <v>0</v>
      </c>
      <c r="V386" s="55">
        <v>0</v>
      </c>
      <c r="W386" s="59">
        <v>15</v>
      </c>
      <c r="X386" s="58">
        <v>1</v>
      </c>
      <c r="Y386" s="55">
        <v>0</v>
      </c>
      <c r="Z386" s="59">
        <v>3</v>
      </c>
      <c r="AA386" s="58">
        <v>0</v>
      </c>
      <c r="AB386" s="55">
        <v>0</v>
      </c>
      <c r="AC386" s="59">
        <v>6</v>
      </c>
      <c r="AD386" s="58">
        <v>0</v>
      </c>
      <c r="AE386" s="55">
        <v>0</v>
      </c>
      <c r="AF386" s="59">
        <v>5</v>
      </c>
      <c r="AG386" s="58">
        <v>0</v>
      </c>
      <c r="AH386" s="55">
        <v>0</v>
      </c>
      <c r="AI386" s="59">
        <v>4</v>
      </c>
      <c r="AJ386" s="58">
        <v>0</v>
      </c>
      <c r="AK386" s="55">
        <v>0</v>
      </c>
      <c r="AL386" s="59">
        <v>2</v>
      </c>
    </row>
    <row r="387" spans="2:38" s="47" customFormat="1" ht="12.75">
      <c r="B387" s="6" t="s">
        <v>273</v>
      </c>
      <c r="C387" s="58">
        <v>1</v>
      </c>
      <c r="D387" s="55">
        <v>0</v>
      </c>
      <c r="E387" s="59">
        <v>21</v>
      </c>
      <c r="F387" s="58">
        <v>3</v>
      </c>
      <c r="G387" s="55">
        <v>2</v>
      </c>
      <c r="H387" s="59">
        <v>17</v>
      </c>
      <c r="I387" s="58">
        <v>0</v>
      </c>
      <c r="J387" s="55">
        <v>0</v>
      </c>
      <c r="K387" s="59">
        <v>17</v>
      </c>
      <c r="L387" s="58">
        <v>0</v>
      </c>
      <c r="M387" s="55">
        <v>0</v>
      </c>
      <c r="N387" s="59">
        <v>0</v>
      </c>
      <c r="O387" s="58">
        <v>0</v>
      </c>
      <c r="P387" s="55">
        <v>0</v>
      </c>
      <c r="Q387" s="59">
        <v>0</v>
      </c>
      <c r="R387" s="58">
        <v>1</v>
      </c>
      <c r="S387" s="55">
        <v>0</v>
      </c>
      <c r="T387" s="59">
        <v>0</v>
      </c>
      <c r="U387" s="58">
        <v>2</v>
      </c>
      <c r="V387" s="55">
        <v>0</v>
      </c>
      <c r="W387" s="59">
        <v>0</v>
      </c>
      <c r="X387" s="58">
        <v>1</v>
      </c>
      <c r="Y387" s="55">
        <v>0</v>
      </c>
      <c r="Z387" s="59">
        <v>0</v>
      </c>
      <c r="AA387" s="58">
        <v>0</v>
      </c>
      <c r="AB387" s="55">
        <v>0</v>
      </c>
      <c r="AC387" s="59">
        <v>0</v>
      </c>
      <c r="AD387" s="58">
        <v>1</v>
      </c>
      <c r="AE387" s="55">
        <v>0</v>
      </c>
      <c r="AF387" s="59">
        <v>0</v>
      </c>
      <c r="AG387" s="58">
        <v>3</v>
      </c>
      <c r="AH387" s="55">
        <v>0</v>
      </c>
      <c r="AI387" s="59">
        <v>0</v>
      </c>
      <c r="AJ387" s="58">
        <v>2</v>
      </c>
      <c r="AK387" s="55">
        <v>0</v>
      </c>
      <c r="AL387" s="59">
        <v>0</v>
      </c>
    </row>
    <row r="388" spans="2:38" s="47" customFormat="1" ht="13.5" thickBot="1">
      <c r="B388" s="7" t="s">
        <v>274</v>
      </c>
      <c r="C388" s="81">
        <v>2</v>
      </c>
      <c r="D388" s="70">
        <v>0</v>
      </c>
      <c r="E388" s="82">
        <v>29</v>
      </c>
      <c r="F388" s="81">
        <v>2</v>
      </c>
      <c r="G388" s="70">
        <v>1</v>
      </c>
      <c r="H388" s="82">
        <v>48</v>
      </c>
      <c r="I388" s="81">
        <v>1</v>
      </c>
      <c r="J388" s="70">
        <v>1</v>
      </c>
      <c r="K388" s="82">
        <v>60</v>
      </c>
      <c r="L388" s="81">
        <v>1</v>
      </c>
      <c r="M388" s="70">
        <v>0</v>
      </c>
      <c r="N388" s="82">
        <v>0</v>
      </c>
      <c r="O388" s="81">
        <v>0</v>
      </c>
      <c r="P388" s="70">
        <v>0</v>
      </c>
      <c r="Q388" s="82">
        <v>0</v>
      </c>
      <c r="R388" s="81">
        <v>0</v>
      </c>
      <c r="S388" s="70">
        <v>0</v>
      </c>
      <c r="T388" s="82">
        <v>0</v>
      </c>
      <c r="U388" s="81">
        <v>0</v>
      </c>
      <c r="V388" s="70">
        <v>0</v>
      </c>
      <c r="W388" s="82">
        <v>0</v>
      </c>
      <c r="X388" s="81">
        <v>2</v>
      </c>
      <c r="Y388" s="70">
        <v>0</v>
      </c>
      <c r="Z388" s="82">
        <v>0</v>
      </c>
      <c r="AA388" s="81">
        <v>4</v>
      </c>
      <c r="AB388" s="70">
        <v>0</v>
      </c>
      <c r="AC388" s="82">
        <v>0</v>
      </c>
      <c r="AD388" s="81">
        <v>0</v>
      </c>
      <c r="AE388" s="70">
        <v>0</v>
      </c>
      <c r="AF388" s="82">
        <v>0</v>
      </c>
      <c r="AG388" s="81">
        <v>0</v>
      </c>
      <c r="AH388" s="70">
        <v>0</v>
      </c>
      <c r="AI388" s="82">
        <v>0</v>
      </c>
      <c r="AJ388" s="81">
        <v>1</v>
      </c>
      <c r="AK388" s="70">
        <v>0</v>
      </c>
      <c r="AL388" s="82">
        <v>0</v>
      </c>
    </row>
    <row r="389" spans="2:38" s="47" customFormat="1" ht="13.5" thickBot="1">
      <c r="B389" s="83" t="s">
        <v>0</v>
      </c>
      <c r="C389" s="44">
        <f aca="true" t="shared" si="34" ref="C389:AL389">SUM(C373:C388)</f>
        <v>24</v>
      </c>
      <c r="D389" s="51">
        <f t="shared" si="34"/>
        <v>11</v>
      </c>
      <c r="E389" s="52">
        <f t="shared" si="34"/>
        <v>398</v>
      </c>
      <c r="F389" s="109">
        <f t="shared" si="34"/>
        <v>17</v>
      </c>
      <c r="G389" s="51">
        <f t="shared" si="34"/>
        <v>14</v>
      </c>
      <c r="H389" s="93">
        <f t="shared" si="34"/>
        <v>419</v>
      </c>
      <c r="I389" s="245">
        <f t="shared" si="34"/>
        <v>18</v>
      </c>
      <c r="J389" s="51">
        <f t="shared" si="34"/>
        <v>8</v>
      </c>
      <c r="K389" s="93">
        <f t="shared" si="34"/>
        <v>370</v>
      </c>
      <c r="L389" s="245">
        <f t="shared" si="34"/>
        <v>20</v>
      </c>
      <c r="M389" s="51">
        <f t="shared" si="34"/>
        <v>0</v>
      </c>
      <c r="N389" s="93">
        <f t="shared" si="34"/>
        <v>17</v>
      </c>
      <c r="O389" s="245">
        <f t="shared" si="34"/>
        <v>4</v>
      </c>
      <c r="P389" s="51">
        <f t="shared" si="34"/>
        <v>0</v>
      </c>
      <c r="Q389" s="93">
        <f t="shared" si="34"/>
        <v>13</v>
      </c>
      <c r="R389" s="245">
        <f t="shared" si="34"/>
        <v>12</v>
      </c>
      <c r="S389" s="51">
        <f t="shared" si="34"/>
        <v>0</v>
      </c>
      <c r="T389" s="93">
        <f t="shared" si="34"/>
        <v>9</v>
      </c>
      <c r="U389" s="245">
        <f t="shared" si="34"/>
        <v>21</v>
      </c>
      <c r="V389" s="51">
        <f t="shared" si="34"/>
        <v>0</v>
      </c>
      <c r="W389" s="93">
        <f t="shared" si="34"/>
        <v>25</v>
      </c>
      <c r="X389" s="245">
        <f t="shared" si="34"/>
        <v>16</v>
      </c>
      <c r="Y389" s="51">
        <f t="shared" si="34"/>
        <v>0</v>
      </c>
      <c r="Z389" s="93">
        <f t="shared" si="34"/>
        <v>13</v>
      </c>
      <c r="AA389" s="245">
        <f t="shared" si="34"/>
        <v>23</v>
      </c>
      <c r="AB389" s="51">
        <f t="shared" si="34"/>
        <v>0</v>
      </c>
      <c r="AC389" s="93">
        <f t="shared" si="34"/>
        <v>15</v>
      </c>
      <c r="AD389" s="245">
        <f t="shared" si="34"/>
        <v>20</v>
      </c>
      <c r="AE389" s="51">
        <f t="shared" si="34"/>
        <v>0</v>
      </c>
      <c r="AF389" s="93">
        <f t="shared" si="34"/>
        <v>12</v>
      </c>
      <c r="AG389" s="245">
        <f t="shared" si="34"/>
        <v>22</v>
      </c>
      <c r="AH389" s="51">
        <f t="shared" si="34"/>
        <v>0</v>
      </c>
      <c r="AI389" s="93">
        <f t="shared" si="34"/>
        <v>6</v>
      </c>
      <c r="AJ389" s="245">
        <f t="shared" si="34"/>
        <v>16</v>
      </c>
      <c r="AK389" s="51">
        <f t="shared" si="34"/>
        <v>0</v>
      </c>
      <c r="AL389" s="93">
        <f t="shared" si="34"/>
        <v>5</v>
      </c>
    </row>
    <row r="390" s="47" customFormat="1" ht="12.75"/>
    <row r="391" spans="2:5" s="47" customFormat="1" ht="12.75">
      <c r="B391" s="369"/>
      <c r="C391" s="369"/>
      <c r="D391" s="369"/>
      <c r="E391" s="369"/>
    </row>
    <row r="392" s="47" customFormat="1" ht="12.75"/>
    <row r="393" spans="2:5" s="47" customFormat="1" ht="12.75">
      <c r="B393" s="383" t="s">
        <v>91</v>
      </c>
      <c r="C393" s="383"/>
      <c r="D393" s="383"/>
      <c r="E393" s="383"/>
    </row>
    <row r="394" spans="2:5" s="47" customFormat="1" ht="12.75">
      <c r="B394" s="60"/>
      <c r="C394" s="60"/>
      <c r="D394" s="60"/>
      <c r="E394" s="60"/>
    </row>
    <row r="395" spans="2:5" s="47" customFormat="1" ht="12.75">
      <c r="B395" s="383" t="s">
        <v>41</v>
      </c>
      <c r="C395" s="383"/>
      <c r="D395" s="383"/>
      <c r="E395" s="383"/>
    </row>
    <row r="396" spans="2:5" s="47" customFormat="1" ht="12.75">
      <c r="B396" s="60"/>
      <c r="C396" s="60"/>
      <c r="D396" s="60"/>
      <c r="E396" s="60"/>
    </row>
    <row r="397" spans="2:5" s="47" customFormat="1" ht="12.75">
      <c r="B397" s="383" t="s">
        <v>86</v>
      </c>
      <c r="C397" s="383"/>
      <c r="D397" s="383"/>
      <c r="E397" s="383"/>
    </row>
    <row r="398" spans="2:5" s="47" customFormat="1" ht="12.75">
      <c r="B398" s="60"/>
      <c r="C398" s="60"/>
      <c r="D398" s="60"/>
      <c r="E398" s="60"/>
    </row>
    <row r="399" spans="2:5" s="47" customFormat="1" ht="12.75">
      <c r="B399" s="383">
        <v>2016</v>
      </c>
      <c r="C399" s="383"/>
      <c r="D399" s="383"/>
      <c r="E399" s="383"/>
    </row>
    <row r="400" spans="2:5" s="47" customFormat="1" ht="13.5" thickBot="1">
      <c r="B400" s="4"/>
      <c r="C400" s="4"/>
      <c r="D400" s="4"/>
      <c r="E400" s="4"/>
    </row>
    <row r="401" spans="2:38" s="47" customFormat="1" ht="13.5" customHeight="1" thickBot="1">
      <c r="B401" s="377" t="s">
        <v>394</v>
      </c>
      <c r="C401" s="374" t="s">
        <v>7</v>
      </c>
      <c r="D401" s="375"/>
      <c r="E401" s="376"/>
      <c r="F401" s="374" t="s">
        <v>433</v>
      </c>
      <c r="G401" s="375"/>
      <c r="H401" s="376"/>
      <c r="I401" s="374" t="s">
        <v>434</v>
      </c>
      <c r="J401" s="375"/>
      <c r="K401" s="376"/>
      <c r="L401" s="374" t="s">
        <v>435</v>
      </c>
      <c r="M401" s="375"/>
      <c r="N401" s="376"/>
      <c r="O401" s="374" t="s">
        <v>436</v>
      </c>
      <c r="P401" s="375"/>
      <c r="Q401" s="376"/>
      <c r="R401" s="374" t="s">
        <v>437</v>
      </c>
      <c r="S401" s="375"/>
      <c r="T401" s="376"/>
      <c r="U401" s="374" t="s">
        <v>438</v>
      </c>
      <c r="V401" s="375"/>
      <c r="W401" s="376"/>
      <c r="X401" s="374" t="s">
        <v>439</v>
      </c>
      <c r="Y401" s="375"/>
      <c r="Z401" s="376"/>
      <c r="AA401" s="374" t="s">
        <v>440</v>
      </c>
      <c r="AB401" s="375"/>
      <c r="AC401" s="376"/>
      <c r="AD401" s="374" t="s">
        <v>441</v>
      </c>
      <c r="AE401" s="375"/>
      <c r="AF401" s="376"/>
      <c r="AG401" s="374" t="s">
        <v>442</v>
      </c>
      <c r="AH401" s="375"/>
      <c r="AI401" s="376"/>
      <c r="AJ401" s="374" t="s">
        <v>443</v>
      </c>
      <c r="AK401" s="375"/>
      <c r="AL401" s="376"/>
    </row>
    <row r="402" spans="2:38" s="47" customFormat="1" ht="12.75" customHeight="1">
      <c r="B402" s="378"/>
      <c r="C402" s="385" t="s">
        <v>66</v>
      </c>
      <c r="D402" s="381" t="s">
        <v>67</v>
      </c>
      <c r="E402" s="371"/>
      <c r="F402" s="385" t="s">
        <v>66</v>
      </c>
      <c r="G402" s="381" t="s">
        <v>67</v>
      </c>
      <c r="H402" s="371"/>
      <c r="I402" s="385" t="s">
        <v>66</v>
      </c>
      <c r="J402" s="381" t="s">
        <v>67</v>
      </c>
      <c r="K402" s="371"/>
      <c r="L402" s="385" t="s">
        <v>66</v>
      </c>
      <c r="M402" s="381" t="s">
        <v>67</v>
      </c>
      <c r="N402" s="371"/>
      <c r="O402" s="385" t="s">
        <v>66</v>
      </c>
      <c r="P402" s="381" t="s">
        <v>67</v>
      </c>
      <c r="Q402" s="371"/>
      <c r="R402" s="385" t="s">
        <v>66</v>
      </c>
      <c r="S402" s="381" t="s">
        <v>67</v>
      </c>
      <c r="T402" s="371"/>
      <c r="U402" s="385" t="s">
        <v>66</v>
      </c>
      <c r="V402" s="381" t="s">
        <v>67</v>
      </c>
      <c r="W402" s="371"/>
      <c r="X402" s="385" t="s">
        <v>66</v>
      </c>
      <c r="Y402" s="381" t="s">
        <v>67</v>
      </c>
      <c r="Z402" s="371"/>
      <c r="AA402" s="385" t="s">
        <v>66</v>
      </c>
      <c r="AB402" s="381" t="s">
        <v>67</v>
      </c>
      <c r="AC402" s="371"/>
      <c r="AD402" s="385" t="s">
        <v>66</v>
      </c>
      <c r="AE402" s="381" t="s">
        <v>67</v>
      </c>
      <c r="AF402" s="371"/>
      <c r="AG402" s="385" t="s">
        <v>66</v>
      </c>
      <c r="AH402" s="381" t="s">
        <v>67</v>
      </c>
      <c r="AI402" s="371"/>
      <c r="AJ402" s="385" t="s">
        <v>66</v>
      </c>
      <c r="AK402" s="381" t="s">
        <v>67</v>
      </c>
      <c r="AL402" s="371"/>
    </row>
    <row r="403" spans="2:38" s="47" customFormat="1" ht="13.5" thickBot="1">
      <c r="B403" s="379"/>
      <c r="C403" s="386"/>
      <c r="D403" s="382"/>
      <c r="E403" s="373"/>
      <c r="F403" s="386"/>
      <c r="G403" s="382"/>
      <c r="H403" s="373"/>
      <c r="I403" s="386"/>
      <c r="J403" s="382"/>
      <c r="K403" s="373"/>
      <c r="L403" s="386"/>
      <c r="M403" s="382"/>
      <c r="N403" s="373"/>
      <c r="O403" s="386"/>
      <c r="P403" s="382"/>
      <c r="Q403" s="373"/>
      <c r="R403" s="386"/>
      <c r="S403" s="382"/>
      <c r="T403" s="373"/>
      <c r="U403" s="386"/>
      <c r="V403" s="382"/>
      <c r="W403" s="373"/>
      <c r="X403" s="386"/>
      <c r="Y403" s="382"/>
      <c r="Z403" s="373"/>
      <c r="AA403" s="386"/>
      <c r="AB403" s="382"/>
      <c r="AC403" s="373"/>
      <c r="AD403" s="386"/>
      <c r="AE403" s="382"/>
      <c r="AF403" s="373"/>
      <c r="AG403" s="386"/>
      <c r="AH403" s="382"/>
      <c r="AI403" s="373"/>
      <c r="AJ403" s="386"/>
      <c r="AK403" s="382"/>
      <c r="AL403" s="373"/>
    </row>
    <row r="404" spans="2:38" s="47" customFormat="1" ht="26.25" thickBot="1">
      <c r="B404" s="380"/>
      <c r="C404" s="74" t="s">
        <v>68</v>
      </c>
      <c r="D404" s="97" t="s">
        <v>69</v>
      </c>
      <c r="E404" s="98" t="s">
        <v>70</v>
      </c>
      <c r="F404" s="74" t="s">
        <v>68</v>
      </c>
      <c r="G404" s="97" t="s">
        <v>69</v>
      </c>
      <c r="H404" s="98" t="s">
        <v>70</v>
      </c>
      <c r="I404" s="74" t="s">
        <v>68</v>
      </c>
      <c r="J404" s="97" t="s">
        <v>69</v>
      </c>
      <c r="K404" s="98" t="s">
        <v>70</v>
      </c>
      <c r="L404" s="74" t="s">
        <v>68</v>
      </c>
      <c r="M404" s="97" t="s">
        <v>69</v>
      </c>
      <c r="N404" s="98" t="s">
        <v>70</v>
      </c>
      <c r="O404" s="74" t="s">
        <v>68</v>
      </c>
      <c r="P404" s="97" t="s">
        <v>69</v>
      </c>
      <c r="Q404" s="98" t="s">
        <v>70</v>
      </c>
      <c r="R404" s="74" t="s">
        <v>68</v>
      </c>
      <c r="S404" s="97" t="s">
        <v>69</v>
      </c>
      <c r="T404" s="98" t="s">
        <v>70</v>
      </c>
      <c r="U404" s="74" t="s">
        <v>68</v>
      </c>
      <c r="V404" s="97" t="s">
        <v>69</v>
      </c>
      <c r="W404" s="98" t="s">
        <v>70</v>
      </c>
      <c r="X404" s="74" t="s">
        <v>68</v>
      </c>
      <c r="Y404" s="97" t="s">
        <v>69</v>
      </c>
      <c r="Z404" s="98" t="s">
        <v>70</v>
      </c>
      <c r="AA404" s="74" t="s">
        <v>68</v>
      </c>
      <c r="AB404" s="97" t="s">
        <v>69</v>
      </c>
      <c r="AC404" s="98" t="s">
        <v>70</v>
      </c>
      <c r="AD404" s="74" t="s">
        <v>68</v>
      </c>
      <c r="AE404" s="97" t="s">
        <v>69</v>
      </c>
      <c r="AF404" s="98" t="s">
        <v>70</v>
      </c>
      <c r="AG404" s="74" t="s">
        <v>68</v>
      </c>
      <c r="AH404" s="97" t="s">
        <v>69</v>
      </c>
      <c r="AI404" s="98" t="s">
        <v>70</v>
      </c>
      <c r="AJ404" s="74" t="s">
        <v>68</v>
      </c>
      <c r="AK404" s="97" t="s">
        <v>69</v>
      </c>
      <c r="AL404" s="98" t="s">
        <v>70</v>
      </c>
    </row>
    <row r="405" spans="2:38" s="47" customFormat="1" ht="12.75">
      <c r="B405" s="5" t="s">
        <v>275</v>
      </c>
      <c r="C405" s="76">
        <v>2</v>
      </c>
      <c r="D405" s="65">
        <v>2</v>
      </c>
      <c r="E405" s="77">
        <v>48</v>
      </c>
      <c r="F405" s="76">
        <v>3</v>
      </c>
      <c r="G405" s="65">
        <v>1</v>
      </c>
      <c r="H405" s="77">
        <v>20</v>
      </c>
      <c r="I405" s="76">
        <v>0</v>
      </c>
      <c r="J405" s="65">
        <v>0</v>
      </c>
      <c r="K405" s="77">
        <v>26</v>
      </c>
      <c r="L405" s="76">
        <v>0</v>
      </c>
      <c r="M405" s="65">
        <v>0</v>
      </c>
      <c r="N405" s="77">
        <v>0</v>
      </c>
      <c r="O405" s="76">
        <v>3</v>
      </c>
      <c r="P405" s="65">
        <v>0</v>
      </c>
      <c r="Q405" s="77">
        <v>0</v>
      </c>
      <c r="R405" s="76">
        <v>1</v>
      </c>
      <c r="S405" s="65">
        <v>0</v>
      </c>
      <c r="T405" s="77">
        <v>0</v>
      </c>
      <c r="U405" s="76">
        <v>1</v>
      </c>
      <c r="V405" s="65">
        <v>0</v>
      </c>
      <c r="W405" s="77">
        <v>0</v>
      </c>
      <c r="X405" s="76">
        <v>2</v>
      </c>
      <c r="Y405" s="65">
        <v>0</v>
      </c>
      <c r="Z405" s="77">
        <v>0</v>
      </c>
      <c r="AA405" s="76">
        <v>1</v>
      </c>
      <c r="AB405" s="65">
        <v>0</v>
      </c>
      <c r="AC405" s="77">
        <v>0</v>
      </c>
      <c r="AD405" s="76">
        <v>1</v>
      </c>
      <c r="AE405" s="65">
        <v>0</v>
      </c>
      <c r="AF405" s="77">
        <v>0</v>
      </c>
      <c r="AG405" s="76">
        <v>2</v>
      </c>
      <c r="AH405" s="65">
        <v>0</v>
      </c>
      <c r="AI405" s="77">
        <v>0</v>
      </c>
      <c r="AJ405" s="76">
        <v>1</v>
      </c>
      <c r="AK405" s="65">
        <v>0</v>
      </c>
      <c r="AL405" s="77">
        <v>0</v>
      </c>
    </row>
    <row r="406" spans="2:38" s="47" customFormat="1" ht="12.75">
      <c r="B406" s="6" t="s">
        <v>276</v>
      </c>
      <c r="C406" s="58">
        <v>0</v>
      </c>
      <c r="D406" s="55">
        <v>0</v>
      </c>
      <c r="E406" s="59">
        <v>0</v>
      </c>
      <c r="F406" s="58">
        <v>1</v>
      </c>
      <c r="G406" s="55">
        <v>0</v>
      </c>
      <c r="H406" s="59">
        <v>33</v>
      </c>
      <c r="I406" s="58">
        <v>2</v>
      </c>
      <c r="J406" s="55">
        <v>1</v>
      </c>
      <c r="K406" s="59">
        <v>16</v>
      </c>
      <c r="L406" s="58">
        <v>1</v>
      </c>
      <c r="M406" s="55">
        <v>0</v>
      </c>
      <c r="N406" s="59">
        <v>0</v>
      </c>
      <c r="O406" s="58">
        <v>0</v>
      </c>
      <c r="P406" s="55">
        <v>0</v>
      </c>
      <c r="Q406" s="59">
        <v>0</v>
      </c>
      <c r="R406" s="58">
        <v>5</v>
      </c>
      <c r="S406" s="55">
        <v>0</v>
      </c>
      <c r="T406" s="59">
        <v>0</v>
      </c>
      <c r="U406" s="58">
        <v>3</v>
      </c>
      <c r="V406" s="55">
        <v>0</v>
      </c>
      <c r="W406" s="59">
        <v>0</v>
      </c>
      <c r="X406" s="58">
        <v>2</v>
      </c>
      <c r="Y406" s="55">
        <v>0</v>
      </c>
      <c r="Z406" s="59">
        <v>0</v>
      </c>
      <c r="AA406" s="58">
        <v>0</v>
      </c>
      <c r="AB406" s="55">
        <v>0</v>
      </c>
      <c r="AC406" s="59">
        <v>0</v>
      </c>
      <c r="AD406" s="58">
        <v>0</v>
      </c>
      <c r="AE406" s="55">
        <v>0</v>
      </c>
      <c r="AF406" s="59">
        <v>0</v>
      </c>
      <c r="AG406" s="58">
        <v>0</v>
      </c>
      <c r="AH406" s="55">
        <v>0</v>
      </c>
      <c r="AI406" s="59">
        <v>0</v>
      </c>
      <c r="AJ406" s="58">
        <v>3</v>
      </c>
      <c r="AK406" s="55">
        <v>0</v>
      </c>
      <c r="AL406" s="59">
        <v>0</v>
      </c>
    </row>
    <row r="407" spans="2:38" s="47" customFormat="1" ht="12.75">
      <c r="B407" s="6" t="s">
        <v>277</v>
      </c>
      <c r="C407" s="58">
        <v>0</v>
      </c>
      <c r="D407" s="55">
        <v>0</v>
      </c>
      <c r="E407" s="59">
        <v>14</v>
      </c>
      <c r="F407" s="58">
        <v>1</v>
      </c>
      <c r="G407" s="55">
        <v>2</v>
      </c>
      <c r="H407" s="59">
        <v>23</v>
      </c>
      <c r="I407" s="58">
        <v>0</v>
      </c>
      <c r="J407" s="55">
        <v>0</v>
      </c>
      <c r="K407" s="59">
        <v>9</v>
      </c>
      <c r="L407" s="58">
        <v>3</v>
      </c>
      <c r="M407" s="55">
        <v>0</v>
      </c>
      <c r="N407" s="59">
        <v>14</v>
      </c>
      <c r="O407" s="58">
        <v>0</v>
      </c>
      <c r="P407" s="55">
        <v>0</v>
      </c>
      <c r="Q407" s="59">
        <v>7</v>
      </c>
      <c r="R407" s="58">
        <v>0</v>
      </c>
      <c r="S407" s="55">
        <v>0</v>
      </c>
      <c r="T407" s="59">
        <v>15</v>
      </c>
      <c r="U407" s="58">
        <v>0</v>
      </c>
      <c r="V407" s="55">
        <v>0</v>
      </c>
      <c r="W407" s="59">
        <v>21</v>
      </c>
      <c r="X407" s="58">
        <v>2</v>
      </c>
      <c r="Y407" s="55">
        <v>0</v>
      </c>
      <c r="Z407" s="59">
        <v>5</v>
      </c>
      <c r="AA407" s="58">
        <v>0</v>
      </c>
      <c r="AB407" s="55">
        <v>0</v>
      </c>
      <c r="AC407" s="59">
        <v>11</v>
      </c>
      <c r="AD407" s="58">
        <v>1</v>
      </c>
      <c r="AE407" s="55">
        <v>0</v>
      </c>
      <c r="AF407" s="59">
        <v>10</v>
      </c>
      <c r="AG407" s="58">
        <v>0</v>
      </c>
      <c r="AH407" s="55">
        <v>0</v>
      </c>
      <c r="AI407" s="59">
        <v>8</v>
      </c>
      <c r="AJ407" s="58">
        <v>1</v>
      </c>
      <c r="AK407" s="55">
        <v>0</v>
      </c>
      <c r="AL407" s="59">
        <v>8</v>
      </c>
    </row>
    <row r="408" spans="2:38" s="47" customFormat="1" ht="12.75">
      <c r="B408" s="6" t="s">
        <v>278</v>
      </c>
      <c r="C408" s="58">
        <v>0</v>
      </c>
      <c r="D408" s="55">
        <v>0</v>
      </c>
      <c r="E408" s="59">
        <v>0</v>
      </c>
      <c r="F408" s="58">
        <v>0</v>
      </c>
      <c r="G408" s="55">
        <v>0</v>
      </c>
      <c r="H408" s="59">
        <v>0</v>
      </c>
      <c r="I408" s="58">
        <v>0</v>
      </c>
      <c r="J408" s="55">
        <v>0</v>
      </c>
      <c r="K408" s="59">
        <v>0</v>
      </c>
      <c r="L408" s="58">
        <v>0</v>
      </c>
      <c r="M408" s="55">
        <v>0</v>
      </c>
      <c r="N408" s="59">
        <v>0</v>
      </c>
      <c r="O408" s="58">
        <v>0</v>
      </c>
      <c r="P408" s="55">
        <v>0</v>
      </c>
      <c r="Q408" s="59">
        <v>0</v>
      </c>
      <c r="R408" s="58">
        <v>0</v>
      </c>
      <c r="S408" s="55">
        <v>0</v>
      </c>
      <c r="T408" s="59">
        <v>0</v>
      </c>
      <c r="U408" s="58">
        <v>2</v>
      </c>
      <c r="V408" s="55">
        <v>0</v>
      </c>
      <c r="W408" s="59">
        <v>0</v>
      </c>
      <c r="X408" s="58">
        <v>2</v>
      </c>
      <c r="Y408" s="55">
        <v>0</v>
      </c>
      <c r="Z408" s="59">
        <v>0</v>
      </c>
      <c r="AA408" s="58">
        <v>1</v>
      </c>
      <c r="AB408" s="55">
        <v>0</v>
      </c>
      <c r="AC408" s="59">
        <v>0</v>
      </c>
      <c r="AD408" s="58">
        <v>3</v>
      </c>
      <c r="AE408" s="55">
        <v>0</v>
      </c>
      <c r="AF408" s="59">
        <v>0</v>
      </c>
      <c r="AG408" s="58">
        <v>0</v>
      </c>
      <c r="AH408" s="55">
        <v>0</v>
      </c>
      <c r="AI408" s="59">
        <v>0</v>
      </c>
      <c r="AJ408" s="58">
        <v>0</v>
      </c>
      <c r="AK408" s="55">
        <v>0</v>
      </c>
      <c r="AL408" s="59">
        <v>0</v>
      </c>
    </row>
    <row r="409" spans="2:38" s="47" customFormat="1" ht="12.75">
      <c r="B409" s="46" t="s">
        <v>425</v>
      </c>
      <c r="C409" s="58">
        <v>1</v>
      </c>
      <c r="D409" s="55">
        <v>0</v>
      </c>
      <c r="E409" s="59">
        <v>8</v>
      </c>
      <c r="F409" s="58">
        <v>1</v>
      </c>
      <c r="G409" s="55">
        <v>1</v>
      </c>
      <c r="H409" s="59">
        <v>5</v>
      </c>
      <c r="I409" s="58">
        <v>1</v>
      </c>
      <c r="J409" s="55">
        <v>1</v>
      </c>
      <c r="K409" s="59">
        <v>3</v>
      </c>
      <c r="L409" s="58">
        <v>1</v>
      </c>
      <c r="M409" s="55">
        <v>0</v>
      </c>
      <c r="N409" s="59">
        <v>0</v>
      </c>
      <c r="O409" s="58">
        <v>0</v>
      </c>
      <c r="P409" s="55">
        <v>0</v>
      </c>
      <c r="Q409" s="59">
        <v>0</v>
      </c>
      <c r="R409" s="58">
        <v>0</v>
      </c>
      <c r="S409" s="55">
        <v>0</v>
      </c>
      <c r="T409" s="59">
        <v>0</v>
      </c>
      <c r="U409" s="58">
        <v>0</v>
      </c>
      <c r="V409" s="55">
        <v>0</v>
      </c>
      <c r="W409" s="59">
        <v>0</v>
      </c>
      <c r="X409" s="58">
        <v>0</v>
      </c>
      <c r="Y409" s="55">
        <v>0</v>
      </c>
      <c r="Z409" s="59">
        <v>0</v>
      </c>
      <c r="AA409" s="58">
        <v>0</v>
      </c>
      <c r="AB409" s="55">
        <v>0</v>
      </c>
      <c r="AC409" s="59">
        <v>0</v>
      </c>
      <c r="AD409" s="58">
        <v>0</v>
      </c>
      <c r="AE409" s="55">
        <v>0</v>
      </c>
      <c r="AF409" s="59">
        <v>1</v>
      </c>
      <c r="AG409" s="58">
        <v>0</v>
      </c>
      <c r="AH409" s="55">
        <v>0</v>
      </c>
      <c r="AI409" s="59">
        <v>0</v>
      </c>
      <c r="AJ409" s="58">
        <v>0</v>
      </c>
      <c r="AK409" s="55">
        <v>0</v>
      </c>
      <c r="AL409" s="59">
        <v>0</v>
      </c>
    </row>
    <row r="410" spans="2:38" s="47" customFormat="1" ht="12.75">
      <c r="B410" s="6" t="s">
        <v>279</v>
      </c>
      <c r="C410" s="58">
        <v>2</v>
      </c>
      <c r="D410" s="55">
        <v>0</v>
      </c>
      <c r="E410" s="59">
        <v>78</v>
      </c>
      <c r="F410" s="58">
        <v>4</v>
      </c>
      <c r="G410" s="55">
        <v>4</v>
      </c>
      <c r="H410" s="59">
        <v>58</v>
      </c>
      <c r="I410" s="58">
        <v>1</v>
      </c>
      <c r="J410" s="55">
        <v>0</v>
      </c>
      <c r="K410" s="59">
        <v>41</v>
      </c>
      <c r="L410" s="58">
        <v>4</v>
      </c>
      <c r="M410" s="55">
        <v>0</v>
      </c>
      <c r="N410" s="59">
        <v>0</v>
      </c>
      <c r="O410" s="58">
        <v>3</v>
      </c>
      <c r="P410" s="55">
        <v>0</v>
      </c>
      <c r="Q410" s="59">
        <v>0</v>
      </c>
      <c r="R410" s="58">
        <v>4</v>
      </c>
      <c r="S410" s="55">
        <v>0</v>
      </c>
      <c r="T410" s="59">
        <v>0</v>
      </c>
      <c r="U410" s="58">
        <v>2</v>
      </c>
      <c r="V410" s="55">
        <v>0</v>
      </c>
      <c r="W410" s="59">
        <v>0</v>
      </c>
      <c r="X410" s="58">
        <v>2</v>
      </c>
      <c r="Y410" s="55">
        <v>0</v>
      </c>
      <c r="Z410" s="59">
        <v>0</v>
      </c>
      <c r="AA410" s="58">
        <v>1</v>
      </c>
      <c r="AB410" s="55">
        <v>0</v>
      </c>
      <c r="AC410" s="59">
        <v>0</v>
      </c>
      <c r="AD410" s="58">
        <v>1</v>
      </c>
      <c r="AE410" s="55">
        <v>0</v>
      </c>
      <c r="AF410" s="59">
        <v>0</v>
      </c>
      <c r="AG410" s="58">
        <v>3</v>
      </c>
      <c r="AH410" s="55">
        <v>0</v>
      </c>
      <c r="AI410" s="59">
        <v>0</v>
      </c>
      <c r="AJ410" s="58">
        <v>3</v>
      </c>
      <c r="AK410" s="55">
        <v>0</v>
      </c>
      <c r="AL410" s="59">
        <v>0</v>
      </c>
    </row>
    <row r="411" spans="2:38" s="47" customFormat="1" ht="12.75">
      <c r="B411" s="6" t="s">
        <v>280</v>
      </c>
      <c r="C411" s="58">
        <v>1</v>
      </c>
      <c r="D411" s="55">
        <v>1</v>
      </c>
      <c r="E411" s="59">
        <v>37</v>
      </c>
      <c r="F411" s="58">
        <v>0</v>
      </c>
      <c r="G411" s="55">
        <v>0</v>
      </c>
      <c r="H411" s="59">
        <v>43</v>
      </c>
      <c r="I411" s="58">
        <v>1</v>
      </c>
      <c r="J411" s="55">
        <v>0</v>
      </c>
      <c r="K411" s="59">
        <v>36</v>
      </c>
      <c r="L411" s="58">
        <v>2</v>
      </c>
      <c r="M411" s="55">
        <v>0</v>
      </c>
      <c r="N411" s="59">
        <v>0</v>
      </c>
      <c r="O411" s="58">
        <v>1</v>
      </c>
      <c r="P411" s="55">
        <v>0</v>
      </c>
      <c r="Q411" s="59">
        <v>0</v>
      </c>
      <c r="R411" s="58">
        <v>2</v>
      </c>
      <c r="S411" s="55">
        <v>0</v>
      </c>
      <c r="T411" s="59">
        <v>0</v>
      </c>
      <c r="U411" s="58">
        <v>2</v>
      </c>
      <c r="V411" s="55">
        <v>0</v>
      </c>
      <c r="W411" s="59">
        <v>0</v>
      </c>
      <c r="X411" s="58">
        <v>1</v>
      </c>
      <c r="Y411" s="55">
        <v>0</v>
      </c>
      <c r="Z411" s="59">
        <v>0</v>
      </c>
      <c r="AA411" s="58">
        <v>3</v>
      </c>
      <c r="AB411" s="55">
        <v>0</v>
      </c>
      <c r="AC411" s="59">
        <v>0</v>
      </c>
      <c r="AD411" s="58">
        <v>0</v>
      </c>
      <c r="AE411" s="55">
        <v>0</v>
      </c>
      <c r="AF411" s="59">
        <v>0</v>
      </c>
      <c r="AG411" s="58">
        <v>1</v>
      </c>
      <c r="AH411" s="55">
        <v>0</v>
      </c>
      <c r="AI411" s="59">
        <v>0</v>
      </c>
      <c r="AJ411" s="58">
        <v>1</v>
      </c>
      <c r="AK411" s="55">
        <v>0</v>
      </c>
      <c r="AL411" s="59">
        <v>0</v>
      </c>
    </row>
    <row r="412" spans="2:38" s="47" customFormat="1" ht="12.75">
      <c r="B412" s="6" t="s">
        <v>281</v>
      </c>
      <c r="C412" s="58">
        <v>0</v>
      </c>
      <c r="D412" s="55">
        <v>0</v>
      </c>
      <c r="E412" s="59">
        <v>0</v>
      </c>
      <c r="F412" s="58">
        <v>0</v>
      </c>
      <c r="G412" s="55">
        <v>0</v>
      </c>
      <c r="H412" s="59">
        <v>0</v>
      </c>
      <c r="I412" s="58">
        <v>0</v>
      </c>
      <c r="J412" s="55">
        <v>0</v>
      </c>
      <c r="K412" s="59">
        <v>0</v>
      </c>
      <c r="L412" s="58">
        <v>15</v>
      </c>
      <c r="M412" s="55">
        <v>0</v>
      </c>
      <c r="N412" s="59">
        <v>0</v>
      </c>
      <c r="O412" s="58">
        <v>13</v>
      </c>
      <c r="P412" s="55">
        <v>0</v>
      </c>
      <c r="Q412" s="59">
        <v>0</v>
      </c>
      <c r="R412" s="58">
        <v>9</v>
      </c>
      <c r="S412" s="55">
        <v>0</v>
      </c>
      <c r="T412" s="59">
        <v>0</v>
      </c>
      <c r="U412" s="58">
        <v>7</v>
      </c>
      <c r="V412" s="55">
        <v>0</v>
      </c>
      <c r="W412" s="59">
        <v>0</v>
      </c>
      <c r="X412" s="58">
        <v>12</v>
      </c>
      <c r="Y412" s="55">
        <v>0</v>
      </c>
      <c r="Z412" s="59">
        <v>0</v>
      </c>
      <c r="AA412" s="58">
        <v>5</v>
      </c>
      <c r="AB412" s="55">
        <v>0</v>
      </c>
      <c r="AC412" s="59">
        <v>0</v>
      </c>
      <c r="AD412" s="58">
        <v>12</v>
      </c>
      <c r="AE412" s="55">
        <v>0</v>
      </c>
      <c r="AF412" s="59">
        <v>0</v>
      </c>
      <c r="AG412" s="58">
        <v>16</v>
      </c>
      <c r="AH412" s="55">
        <v>0</v>
      </c>
      <c r="AI412" s="59">
        <v>0</v>
      </c>
      <c r="AJ412" s="58">
        <v>4</v>
      </c>
      <c r="AK412" s="55">
        <v>0</v>
      </c>
      <c r="AL412" s="59">
        <v>0</v>
      </c>
    </row>
    <row r="413" spans="2:38" s="47" customFormat="1" ht="13.5" thickBot="1">
      <c r="B413" s="7" t="s">
        <v>282</v>
      </c>
      <c r="C413" s="81">
        <v>0</v>
      </c>
      <c r="D413" s="70">
        <v>0</v>
      </c>
      <c r="E413" s="82">
        <v>198</v>
      </c>
      <c r="F413" s="81">
        <v>9</v>
      </c>
      <c r="G413" s="70">
        <v>6</v>
      </c>
      <c r="H413" s="82">
        <v>160</v>
      </c>
      <c r="I413" s="81">
        <v>0</v>
      </c>
      <c r="J413" s="70">
        <v>0</v>
      </c>
      <c r="K413" s="82">
        <v>115</v>
      </c>
      <c r="L413" s="81">
        <v>0</v>
      </c>
      <c r="M413" s="70">
        <v>0</v>
      </c>
      <c r="N413" s="82">
        <v>0</v>
      </c>
      <c r="O413" s="81">
        <v>4</v>
      </c>
      <c r="P413" s="70">
        <v>0</v>
      </c>
      <c r="Q413" s="82">
        <v>0</v>
      </c>
      <c r="R413" s="81">
        <v>1</v>
      </c>
      <c r="S413" s="70">
        <v>0</v>
      </c>
      <c r="T413" s="82">
        <v>0</v>
      </c>
      <c r="U413" s="81">
        <v>7</v>
      </c>
      <c r="V413" s="70">
        <v>0</v>
      </c>
      <c r="W413" s="82">
        <v>0</v>
      </c>
      <c r="X413" s="81">
        <v>4</v>
      </c>
      <c r="Y413" s="70">
        <v>0</v>
      </c>
      <c r="Z413" s="82">
        <v>0</v>
      </c>
      <c r="AA413" s="81">
        <v>2</v>
      </c>
      <c r="AB413" s="70">
        <v>0</v>
      </c>
      <c r="AC413" s="82">
        <v>0</v>
      </c>
      <c r="AD413" s="81">
        <v>3</v>
      </c>
      <c r="AE413" s="70">
        <v>0</v>
      </c>
      <c r="AF413" s="82">
        <v>0</v>
      </c>
      <c r="AG413" s="81">
        <v>2</v>
      </c>
      <c r="AH413" s="70">
        <v>0</v>
      </c>
      <c r="AI413" s="82">
        <v>0</v>
      </c>
      <c r="AJ413" s="81">
        <v>1</v>
      </c>
      <c r="AK413" s="70">
        <v>0</v>
      </c>
      <c r="AL413" s="82">
        <v>0</v>
      </c>
    </row>
    <row r="414" spans="2:38" s="47" customFormat="1" ht="13.5" thickBot="1">
      <c r="B414" s="83" t="s">
        <v>0</v>
      </c>
      <c r="C414" s="44">
        <f aca="true" t="shared" si="35" ref="C414:AL414">SUM(C405:C413)</f>
        <v>6</v>
      </c>
      <c r="D414" s="51">
        <f t="shared" si="35"/>
        <v>3</v>
      </c>
      <c r="E414" s="52">
        <f t="shared" si="35"/>
        <v>383</v>
      </c>
      <c r="F414" s="109">
        <f t="shared" si="35"/>
        <v>19</v>
      </c>
      <c r="G414" s="51">
        <f t="shared" si="35"/>
        <v>14</v>
      </c>
      <c r="H414" s="93">
        <f t="shared" si="35"/>
        <v>342</v>
      </c>
      <c r="I414" s="245">
        <f t="shared" si="35"/>
        <v>5</v>
      </c>
      <c r="J414" s="51">
        <f t="shared" si="35"/>
        <v>2</v>
      </c>
      <c r="K414" s="93">
        <f t="shared" si="35"/>
        <v>246</v>
      </c>
      <c r="L414" s="245">
        <f t="shared" si="35"/>
        <v>26</v>
      </c>
      <c r="M414" s="51">
        <f t="shared" si="35"/>
        <v>0</v>
      </c>
      <c r="N414" s="93">
        <f t="shared" si="35"/>
        <v>14</v>
      </c>
      <c r="O414" s="245">
        <f t="shared" si="35"/>
        <v>24</v>
      </c>
      <c r="P414" s="51">
        <f t="shared" si="35"/>
        <v>0</v>
      </c>
      <c r="Q414" s="93">
        <f t="shared" si="35"/>
        <v>7</v>
      </c>
      <c r="R414" s="245">
        <f t="shared" si="35"/>
        <v>22</v>
      </c>
      <c r="S414" s="51">
        <f t="shared" si="35"/>
        <v>0</v>
      </c>
      <c r="T414" s="93">
        <f t="shared" si="35"/>
        <v>15</v>
      </c>
      <c r="U414" s="245">
        <f t="shared" si="35"/>
        <v>24</v>
      </c>
      <c r="V414" s="51">
        <f t="shared" si="35"/>
        <v>0</v>
      </c>
      <c r="W414" s="93">
        <f t="shared" si="35"/>
        <v>21</v>
      </c>
      <c r="X414" s="245">
        <f t="shared" si="35"/>
        <v>27</v>
      </c>
      <c r="Y414" s="51">
        <f t="shared" si="35"/>
        <v>0</v>
      </c>
      <c r="Z414" s="93">
        <f t="shared" si="35"/>
        <v>5</v>
      </c>
      <c r="AA414" s="245">
        <f t="shared" si="35"/>
        <v>13</v>
      </c>
      <c r="AB414" s="51">
        <f t="shared" si="35"/>
        <v>0</v>
      </c>
      <c r="AC414" s="93">
        <f t="shared" si="35"/>
        <v>11</v>
      </c>
      <c r="AD414" s="245">
        <f t="shared" si="35"/>
        <v>21</v>
      </c>
      <c r="AE414" s="51">
        <f t="shared" si="35"/>
        <v>0</v>
      </c>
      <c r="AF414" s="93">
        <f t="shared" si="35"/>
        <v>11</v>
      </c>
      <c r="AG414" s="245">
        <f t="shared" si="35"/>
        <v>24</v>
      </c>
      <c r="AH414" s="51">
        <f t="shared" si="35"/>
        <v>0</v>
      </c>
      <c r="AI414" s="93">
        <f t="shared" si="35"/>
        <v>8</v>
      </c>
      <c r="AJ414" s="245">
        <f t="shared" si="35"/>
        <v>14</v>
      </c>
      <c r="AK414" s="51">
        <f t="shared" si="35"/>
        <v>0</v>
      </c>
      <c r="AL414" s="93">
        <f t="shared" si="35"/>
        <v>8</v>
      </c>
    </row>
    <row r="415" s="47" customFormat="1" ht="12.75"/>
    <row r="416" s="47" customFormat="1" ht="12.75">
      <c r="B416" s="47" t="s">
        <v>424</v>
      </c>
    </row>
    <row r="417" spans="2:5" s="47" customFormat="1" ht="12.75">
      <c r="B417" s="369"/>
      <c r="C417" s="369"/>
      <c r="D417" s="369"/>
      <c r="E417" s="369"/>
    </row>
    <row r="418" s="47" customFormat="1" ht="12.75"/>
    <row r="419" spans="2:5" s="47" customFormat="1" ht="12.75">
      <c r="B419" s="383" t="s">
        <v>20</v>
      </c>
      <c r="C419" s="383"/>
      <c r="D419" s="383"/>
      <c r="E419" s="383"/>
    </row>
    <row r="420" spans="2:5" s="47" customFormat="1" ht="12.75">
      <c r="B420" s="60"/>
      <c r="C420" s="60"/>
      <c r="D420" s="60"/>
      <c r="E420" s="60"/>
    </row>
    <row r="421" spans="2:5" s="47" customFormat="1" ht="12.75">
      <c r="B421" s="383" t="s">
        <v>41</v>
      </c>
      <c r="C421" s="383"/>
      <c r="D421" s="383"/>
      <c r="E421" s="383"/>
    </row>
    <row r="422" spans="2:5" s="47" customFormat="1" ht="12.75">
      <c r="B422" s="60"/>
      <c r="C422" s="60"/>
      <c r="D422" s="60"/>
      <c r="E422" s="60"/>
    </row>
    <row r="423" spans="2:5" s="47" customFormat="1" ht="12.75">
      <c r="B423" s="383" t="s">
        <v>86</v>
      </c>
      <c r="C423" s="383"/>
      <c r="D423" s="383"/>
      <c r="E423" s="383"/>
    </row>
    <row r="424" spans="2:5" s="47" customFormat="1" ht="12.75">
      <c r="B424" s="60"/>
      <c r="C424" s="60"/>
      <c r="D424" s="60"/>
      <c r="E424" s="60"/>
    </row>
    <row r="425" spans="2:5" s="47" customFormat="1" ht="12.75">
      <c r="B425" s="383">
        <v>2016</v>
      </c>
      <c r="C425" s="383"/>
      <c r="D425" s="383"/>
      <c r="E425" s="383"/>
    </row>
    <row r="426" spans="2:5" s="47" customFormat="1" ht="13.5" thickBot="1">
      <c r="B426" s="4"/>
      <c r="C426" s="4"/>
      <c r="D426" s="4"/>
      <c r="E426" s="4"/>
    </row>
    <row r="427" spans="2:38" s="47" customFormat="1" ht="13.5" customHeight="1" thickBot="1">
      <c r="B427" s="377" t="s">
        <v>394</v>
      </c>
      <c r="C427" s="374" t="s">
        <v>7</v>
      </c>
      <c r="D427" s="375"/>
      <c r="E427" s="376"/>
      <c r="F427" s="374" t="s">
        <v>433</v>
      </c>
      <c r="G427" s="375"/>
      <c r="H427" s="376"/>
      <c r="I427" s="374" t="s">
        <v>434</v>
      </c>
      <c r="J427" s="375"/>
      <c r="K427" s="376"/>
      <c r="L427" s="374" t="s">
        <v>435</v>
      </c>
      <c r="M427" s="375"/>
      <c r="N427" s="376"/>
      <c r="O427" s="374" t="s">
        <v>436</v>
      </c>
      <c r="P427" s="375"/>
      <c r="Q427" s="376"/>
      <c r="R427" s="374" t="s">
        <v>437</v>
      </c>
      <c r="S427" s="375"/>
      <c r="T427" s="376"/>
      <c r="U427" s="374" t="s">
        <v>438</v>
      </c>
      <c r="V427" s="375"/>
      <c r="W427" s="376"/>
      <c r="X427" s="374" t="s">
        <v>439</v>
      </c>
      <c r="Y427" s="375"/>
      <c r="Z427" s="376"/>
      <c r="AA427" s="374" t="s">
        <v>440</v>
      </c>
      <c r="AB427" s="375"/>
      <c r="AC427" s="376"/>
      <c r="AD427" s="374" t="s">
        <v>441</v>
      </c>
      <c r="AE427" s="375"/>
      <c r="AF427" s="376"/>
      <c r="AG427" s="374" t="s">
        <v>442</v>
      </c>
      <c r="AH427" s="375"/>
      <c r="AI427" s="376"/>
      <c r="AJ427" s="374" t="s">
        <v>443</v>
      </c>
      <c r="AK427" s="375"/>
      <c r="AL427" s="376"/>
    </row>
    <row r="428" spans="2:38" s="47" customFormat="1" ht="12.75" customHeight="1">
      <c r="B428" s="378"/>
      <c r="C428" s="367" t="s">
        <v>66</v>
      </c>
      <c r="D428" s="381" t="s">
        <v>67</v>
      </c>
      <c r="E428" s="371"/>
      <c r="F428" s="367" t="s">
        <v>66</v>
      </c>
      <c r="G428" s="381" t="s">
        <v>67</v>
      </c>
      <c r="H428" s="371"/>
      <c r="I428" s="367" t="s">
        <v>66</v>
      </c>
      <c r="J428" s="381" t="s">
        <v>67</v>
      </c>
      <c r="K428" s="371"/>
      <c r="L428" s="367" t="s">
        <v>66</v>
      </c>
      <c r="M428" s="381" t="s">
        <v>67</v>
      </c>
      <c r="N428" s="371"/>
      <c r="O428" s="367" t="s">
        <v>66</v>
      </c>
      <c r="P428" s="381" t="s">
        <v>67</v>
      </c>
      <c r="Q428" s="371"/>
      <c r="R428" s="367" t="s">
        <v>66</v>
      </c>
      <c r="S428" s="381" t="s">
        <v>67</v>
      </c>
      <c r="T428" s="371"/>
      <c r="U428" s="367" t="s">
        <v>66</v>
      </c>
      <c r="V428" s="381" t="s">
        <v>67</v>
      </c>
      <c r="W428" s="371"/>
      <c r="X428" s="367" t="s">
        <v>66</v>
      </c>
      <c r="Y428" s="381" t="s">
        <v>67</v>
      </c>
      <c r="Z428" s="371"/>
      <c r="AA428" s="367" t="s">
        <v>66</v>
      </c>
      <c r="AB428" s="381" t="s">
        <v>67</v>
      </c>
      <c r="AC428" s="371"/>
      <c r="AD428" s="367" t="s">
        <v>66</v>
      </c>
      <c r="AE428" s="381" t="s">
        <v>67</v>
      </c>
      <c r="AF428" s="371"/>
      <c r="AG428" s="367" t="s">
        <v>66</v>
      </c>
      <c r="AH428" s="381" t="s">
        <v>67</v>
      </c>
      <c r="AI428" s="371"/>
      <c r="AJ428" s="367" t="s">
        <v>66</v>
      </c>
      <c r="AK428" s="381" t="s">
        <v>67</v>
      </c>
      <c r="AL428" s="371"/>
    </row>
    <row r="429" spans="2:38" s="47" customFormat="1" ht="13.5" thickBot="1">
      <c r="B429" s="379"/>
      <c r="C429" s="368"/>
      <c r="D429" s="382"/>
      <c r="E429" s="373"/>
      <c r="F429" s="368"/>
      <c r="G429" s="382"/>
      <c r="H429" s="373"/>
      <c r="I429" s="368"/>
      <c r="J429" s="382"/>
      <c r="K429" s="373"/>
      <c r="L429" s="368"/>
      <c r="M429" s="382"/>
      <c r="N429" s="373"/>
      <c r="O429" s="368"/>
      <c r="P429" s="382"/>
      <c r="Q429" s="373"/>
      <c r="R429" s="368"/>
      <c r="S429" s="382"/>
      <c r="T429" s="373"/>
      <c r="U429" s="368"/>
      <c r="V429" s="382"/>
      <c r="W429" s="373"/>
      <c r="X429" s="368"/>
      <c r="Y429" s="382"/>
      <c r="Z429" s="373"/>
      <c r="AA429" s="368"/>
      <c r="AB429" s="382"/>
      <c r="AC429" s="373"/>
      <c r="AD429" s="368"/>
      <c r="AE429" s="382"/>
      <c r="AF429" s="373"/>
      <c r="AG429" s="368"/>
      <c r="AH429" s="382"/>
      <c r="AI429" s="373"/>
      <c r="AJ429" s="368"/>
      <c r="AK429" s="382"/>
      <c r="AL429" s="373"/>
    </row>
    <row r="430" spans="2:38" s="47" customFormat="1" ht="26.25" thickBot="1">
      <c r="B430" s="380"/>
      <c r="C430" s="96" t="s">
        <v>68</v>
      </c>
      <c r="D430" s="97" t="s">
        <v>69</v>
      </c>
      <c r="E430" s="98" t="s">
        <v>70</v>
      </c>
      <c r="F430" s="96" t="s">
        <v>68</v>
      </c>
      <c r="G430" s="97" t="s">
        <v>69</v>
      </c>
      <c r="H430" s="98" t="s">
        <v>70</v>
      </c>
      <c r="I430" s="96" t="s">
        <v>68</v>
      </c>
      <c r="J430" s="97" t="s">
        <v>69</v>
      </c>
      <c r="K430" s="98" t="s">
        <v>70</v>
      </c>
      <c r="L430" s="96" t="s">
        <v>68</v>
      </c>
      <c r="M430" s="97" t="s">
        <v>69</v>
      </c>
      <c r="N430" s="98" t="s">
        <v>70</v>
      </c>
      <c r="O430" s="96" t="s">
        <v>68</v>
      </c>
      <c r="P430" s="97" t="s">
        <v>69</v>
      </c>
      <c r="Q430" s="98" t="s">
        <v>70</v>
      </c>
      <c r="R430" s="96" t="s">
        <v>68</v>
      </c>
      <c r="S430" s="97" t="s">
        <v>69</v>
      </c>
      <c r="T430" s="98" t="s">
        <v>70</v>
      </c>
      <c r="U430" s="96" t="s">
        <v>68</v>
      </c>
      <c r="V430" s="97" t="s">
        <v>69</v>
      </c>
      <c r="W430" s="98" t="s">
        <v>70</v>
      </c>
      <c r="X430" s="96" t="s">
        <v>68</v>
      </c>
      <c r="Y430" s="97" t="s">
        <v>69</v>
      </c>
      <c r="Z430" s="98" t="s">
        <v>70</v>
      </c>
      <c r="AA430" s="96" t="s">
        <v>68</v>
      </c>
      <c r="AB430" s="97" t="s">
        <v>69</v>
      </c>
      <c r="AC430" s="98" t="s">
        <v>70</v>
      </c>
      <c r="AD430" s="96" t="s">
        <v>68</v>
      </c>
      <c r="AE430" s="97" t="s">
        <v>69</v>
      </c>
      <c r="AF430" s="98" t="s">
        <v>70</v>
      </c>
      <c r="AG430" s="96" t="s">
        <v>68</v>
      </c>
      <c r="AH430" s="97" t="s">
        <v>69</v>
      </c>
      <c r="AI430" s="98" t="s">
        <v>70</v>
      </c>
      <c r="AJ430" s="96" t="s">
        <v>68</v>
      </c>
      <c r="AK430" s="97" t="s">
        <v>69</v>
      </c>
      <c r="AL430" s="98" t="s">
        <v>70</v>
      </c>
    </row>
    <row r="431" spans="2:38" s="47" customFormat="1" ht="12.75">
      <c r="B431" s="5" t="s">
        <v>283</v>
      </c>
      <c r="C431" s="76">
        <v>3</v>
      </c>
      <c r="D431" s="65">
        <v>1</v>
      </c>
      <c r="E431" s="77">
        <v>34</v>
      </c>
      <c r="F431" s="76">
        <v>1</v>
      </c>
      <c r="G431" s="65">
        <v>3</v>
      </c>
      <c r="H431" s="77">
        <v>32</v>
      </c>
      <c r="I431" s="76">
        <v>0</v>
      </c>
      <c r="J431" s="65">
        <v>0</v>
      </c>
      <c r="K431" s="77">
        <v>17</v>
      </c>
      <c r="L431" s="76">
        <v>0</v>
      </c>
      <c r="M431" s="65">
        <v>0</v>
      </c>
      <c r="N431" s="77">
        <v>0</v>
      </c>
      <c r="O431" s="76">
        <v>1</v>
      </c>
      <c r="P431" s="65">
        <v>0</v>
      </c>
      <c r="Q431" s="77">
        <v>0</v>
      </c>
      <c r="R431" s="76">
        <v>0</v>
      </c>
      <c r="S431" s="65">
        <v>0</v>
      </c>
      <c r="T431" s="77">
        <v>0</v>
      </c>
      <c r="U431" s="76">
        <v>1</v>
      </c>
      <c r="V431" s="65">
        <v>0</v>
      </c>
      <c r="W431" s="77">
        <v>0</v>
      </c>
      <c r="X431" s="76">
        <v>0</v>
      </c>
      <c r="Y431" s="65">
        <v>0</v>
      </c>
      <c r="Z431" s="77">
        <v>0</v>
      </c>
      <c r="AA431" s="76">
        <v>1</v>
      </c>
      <c r="AB431" s="65">
        <v>0</v>
      </c>
      <c r="AC431" s="77">
        <v>0</v>
      </c>
      <c r="AD431" s="76">
        <v>1</v>
      </c>
      <c r="AE431" s="65">
        <v>0</v>
      </c>
      <c r="AF431" s="77">
        <v>0</v>
      </c>
      <c r="AG431" s="76">
        <v>2</v>
      </c>
      <c r="AH431" s="65">
        <v>0</v>
      </c>
      <c r="AI431" s="77">
        <v>0</v>
      </c>
      <c r="AJ431" s="76">
        <v>0</v>
      </c>
      <c r="AK431" s="65">
        <v>0</v>
      </c>
      <c r="AL431" s="77">
        <v>0</v>
      </c>
    </row>
    <row r="432" spans="2:38" s="47" customFormat="1" ht="12.75">
      <c r="B432" s="6" t="s">
        <v>284</v>
      </c>
      <c r="C432" s="58">
        <v>0</v>
      </c>
      <c r="D432" s="55">
        <v>0</v>
      </c>
      <c r="E432" s="59">
        <v>25</v>
      </c>
      <c r="F432" s="58">
        <v>0</v>
      </c>
      <c r="G432" s="55">
        <v>0</v>
      </c>
      <c r="H432" s="59">
        <v>21</v>
      </c>
      <c r="I432" s="58">
        <v>0</v>
      </c>
      <c r="J432" s="55">
        <v>0</v>
      </c>
      <c r="K432" s="59">
        <v>12</v>
      </c>
      <c r="L432" s="58">
        <v>0</v>
      </c>
      <c r="M432" s="55">
        <v>0</v>
      </c>
      <c r="N432" s="59">
        <v>0</v>
      </c>
      <c r="O432" s="58">
        <v>1</v>
      </c>
      <c r="P432" s="55">
        <v>0</v>
      </c>
      <c r="Q432" s="59">
        <v>0</v>
      </c>
      <c r="R432" s="58">
        <v>0</v>
      </c>
      <c r="S432" s="55">
        <v>0</v>
      </c>
      <c r="T432" s="59">
        <v>0</v>
      </c>
      <c r="U432" s="58">
        <v>1</v>
      </c>
      <c r="V432" s="55">
        <v>0</v>
      </c>
      <c r="W432" s="59">
        <v>0</v>
      </c>
      <c r="X432" s="58">
        <v>0</v>
      </c>
      <c r="Y432" s="55">
        <v>0</v>
      </c>
      <c r="Z432" s="59">
        <v>0</v>
      </c>
      <c r="AA432" s="58">
        <v>0</v>
      </c>
      <c r="AB432" s="55">
        <v>0</v>
      </c>
      <c r="AC432" s="59">
        <v>0</v>
      </c>
      <c r="AD432" s="58">
        <v>0</v>
      </c>
      <c r="AE432" s="55">
        <v>0</v>
      </c>
      <c r="AF432" s="59">
        <v>0</v>
      </c>
      <c r="AG432" s="58">
        <v>1</v>
      </c>
      <c r="AH432" s="55">
        <v>0</v>
      </c>
      <c r="AI432" s="59">
        <v>0</v>
      </c>
      <c r="AJ432" s="58">
        <v>1</v>
      </c>
      <c r="AK432" s="55">
        <v>0</v>
      </c>
      <c r="AL432" s="59">
        <v>0</v>
      </c>
    </row>
    <row r="433" spans="2:38" s="47" customFormat="1" ht="12.75">
      <c r="B433" s="6" t="s">
        <v>285</v>
      </c>
      <c r="C433" s="58">
        <v>1</v>
      </c>
      <c r="D433" s="55">
        <v>0</v>
      </c>
      <c r="E433" s="59">
        <v>51</v>
      </c>
      <c r="F433" s="58">
        <v>0</v>
      </c>
      <c r="G433" s="55">
        <v>0</v>
      </c>
      <c r="H433" s="59">
        <v>20</v>
      </c>
      <c r="I433" s="58">
        <v>0</v>
      </c>
      <c r="J433" s="55">
        <v>0</v>
      </c>
      <c r="K433" s="59">
        <v>19</v>
      </c>
      <c r="L433" s="58">
        <v>1</v>
      </c>
      <c r="M433" s="55">
        <v>0</v>
      </c>
      <c r="N433" s="59">
        <v>27</v>
      </c>
      <c r="O433" s="58">
        <v>0</v>
      </c>
      <c r="P433" s="55">
        <v>0</v>
      </c>
      <c r="Q433" s="59">
        <v>0</v>
      </c>
      <c r="R433" s="58">
        <v>1</v>
      </c>
      <c r="S433" s="55">
        <v>0</v>
      </c>
      <c r="T433" s="59">
        <v>0</v>
      </c>
      <c r="U433" s="58">
        <v>0</v>
      </c>
      <c r="V433" s="55">
        <v>0</v>
      </c>
      <c r="W433" s="59">
        <v>0</v>
      </c>
      <c r="X433" s="58">
        <v>1</v>
      </c>
      <c r="Y433" s="55">
        <v>0</v>
      </c>
      <c r="Z433" s="59">
        <v>0</v>
      </c>
      <c r="AA433" s="58">
        <v>1</v>
      </c>
      <c r="AB433" s="55">
        <v>0</v>
      </c>
      <c r="AC433" s="59">
        <v>0</v>
      </c>
      <c r="AD433" s="58">
        <v>3</v>
      </c>
      <c r="AE433" s="55">
        <v>0</v>
      </c>
      <c r="AF433" s="59">
        <v>0</v>
      </c>
      <c r="AG433" s="58">
        <v>1</v>
      </c>
      <c r="AH433" s="55">
        <v>0</v>
      </c>
      <c r="AI433" s="59">
        <v>0</v>
      </c>
      <c r="AJ433" s="58">
        <v>3</v>
      </c>
      <c r="AK433" s="55">
        <v>0</v>
      </c>
      <c r="AL433" s="59">
        <v>0</v>
      </c>
    </row>
    <row r="434" spans="2:38" s="47" customFormat="1" ht="12.75">
      <c r="B434" s="6" t="s">
        <v>286</v>
      </c>
      <c r="C434" s="58">
        <v>1</v>
      </c>
      <c r="D434" s="55">
        <v>0</v>
      </c>
      <c r="E434" s="59">
        <v>15</v>
      </c>
      <c r="F434" s="58">
        <v>0</v>
      </c>
      <c r="G434" s="55">
        <v>1</v>
      </c>
      <c r="H434" s="59">
        <v>14</v>
      </c>
      <c r="I434" s="58">
        <v>0</v>
      </c>
      <c r="J434" s="55">
        <v>0</v>
      </c>
      <c r="K434" s="59">
        <v>0</v>
      </c>
      <c r="L434" s="58">
        <v>2</v>
      </c>
      <c r="M434" s="55">
        <v>0</v>
      </c>
      <c r="N434" s="59">
        <v>0</v>
      </c>
      <c r="O434" s="58">
        <v>3</v>
      </c>
      <c r="P434" s="55">
        <v>0</v>
      </c>
      <c r="Q434" s="59">
        <v>0</v>
      </c>
      <c r="R434" s="58">
        <v>2</v>
      </c>
      <c r="S434" s="55">
        <v>0</v>
      </c>
      <c r="T434" s="59">
        <v>0</v>
      </c>
      <c r="U434" s="58">
        <v>1</v>
      </c>
      <c r="V434" s="55">
        <v>0</v>
      </c>
      <c r="W434" s="59">
        <v>0</v>
      </c>
      <c r="X434" s="58">
        <v>1</v>
      </c>
      <c r="Y434" s="55">
        <v>0</v>
      </c>
      <c r="Z434" s="59">
        <v>0</v>
      </c>
      <c r="AA434" s="58">
        <v>0</v>
      </c>
      <c r="AB434" s="55">
        <v>0</v>
      </c>
      <c r="AC434" s="59">
        <v>0</v>
      </c>
      <c r="AD434" s="58">
        <v>0</v>
      </c>
      <c r="AE434" s="55">
        <v>0</v>
      </c>
      <c r="AF434" s="59">
        <v>0</v>
      </c>
      <c r="AG434" s="58">
        <v>1</v>
      </c>
      <c r="AH434" s="55">
        <v>0</v>
      </c>
      <c r="AI434" s="59">
        <v>0</v>
      </c>
      <c r="AJ434" s="58">
        <v>0</v>
      </c>
      <c r="AK434" s="55">
        <v>0</v>
      </c>
      <c r="AL434" s="59">
        <v>0</v>
      </c>
    </row>
    <row r="435" spans="2:38" s="47" customFormat="1" ht="12.75">
      <c r="B435" s="6" t="s">
        <v>287</v>
      </c>
      <c r="C435" s="58">
        <v>5</v>
      </c>
      <c r="D435" s="55">
        <v>4</v>
      </c>
      <c r="E435" s="59">
        <v>43</v>
      </c>
      <c r="F435" s="58">
        <v>3</v>
      </c>
      <c r="G435" s="55">
        <v>3</v>
      </c>
      <c r="H435" s="59">
        <v>45</v>
      </c>
      <c r="I435" s="58">
        <v>0</v>
      </c>
      <c r="J435" s="55">
        <v>0</v>
      </c>
      <c r="K435" s="59">
        <v>29</v>
      </c>
      <c r="L435" s="58">
        <v>2</v>
      </c>
      <c r="M435" s="55">
        <v>0</v>
      </c>
      <c r="N435" s="59">
        <v>0</v>
      </c>
      <c r="O435" s="58">
        <v>1</v>
      </c>
      <c r="P435" s="55">
        <v>0</v>
      </c>
      <c r="Q435" s="59">
        <v>0</v>
      </c>
      <c r="R435" s="58">
        <v>4</v>
      </c>
      <c r="S435" s="55">
        <v>0</v>
      </c>
      <c r="T435" s="59">
        <v>0</v>
      </c>
      <c r="U435" s="58">
        <v>1</v>
      </c>
      <c r="V435" s="55">
        <v>0</v>
      </c>
      <c r="W435" s="59">
        <v>0</v>
      </c>
      <c r="X435" s="58">
        <v>1</v>
      </c>
      <c r="Y435" s="55">
        <v>0</v>
      </c>
      <c r="Z435" s="59">
        <v>0</v>
      </c>
      <c r="AA435" s="58">
        <v>3</v>
      </c>
      <c r="AB435" s="55">
        <v>0</v>
      </c>
      <c r="AC435" s="59">
        <v>0</v>
      </c>
      <c r="AD435" s="58">
        <v>3</v>
      </c>
      <c r="AE435" s="55">
        <v>0</v>
      </c>
      <c r="AF435" s="59">
        <v>0</v>
      </c>
      <c r="AG435" s="58">
        <v>1</v>
      </c>
      <c r="AH435" s="55">
        <v>0</v>
      </c>
      <c r="AI435" s="59">
        <v>0</v>
      </c>
      <c r="AJ435" s="58">
        <v>1</v>
      </c>
      <c r="AK435" s="55">
        <v>0</v>
      </c>
      <c r="AL435" s="59">
        <v>0</v>
      </c>
    </row>
    <row r="436" spans="2:38" s="47" customFormat="1" ht="13.5" thickBot="1">
      <c r="B436" s="7" t="s">
        <v>288</v>
      </c>
      <c r="C436" s="81">
        <v>1</v>
      </c>
      <c r="D436" s="70">
        <v>1</v>
      </c>
      <c r="E436" s="82">
        <v>5</v>
      </c>
      <c r="F436" s="81">
        <v>0</v>
      </c>
      <c r="G436" s="70">
        <v>0</v>
      </c>
      <c r="H436" s="82">
        <v>4</v>
      </c>
      <c r="I436" s="81">
        <v>0</v>
      </c>
      <c r="J436" s="70">
        <v>0</v>
      </c>
      <c r="K436" s="82">
        <v>5</v>
      </c>
      <c r="L436" s="81">
        <v>0</v>
      </c>
      <c r="M436" s="70">
        <v>0</v>
      </c>
      <c r="N436" s="82">
        <v>0</v>
      </c>
      <c r="O436" s="81">
        <v>0</v>
      </c>
      <c r="P436" s="70">
        <v>0</v>
      </c>
      <c r="Q436" s="82">
        <v>0</v>
      </c>
      <c r="R436" s="81">
        <v>0</v>
      </c>
      <c r="S436" s="70">
        <v>0</v>
      </c>
      <c r="T436" s="82">
        <v>0</v>
      </c>
      <c r="U436" s="81">
        <v>1</v>
      </c>
      <c r="V436" s="70">
        <v>0</v>
      </c>
      <c r="W436" s="82">
        <v>0</v>
      </c>
      <c r="X436" s="81">
        <v>1</v>
      </c>
      <c r="Y436" s="70">
        <v>0</v>
      </c>
      <c r="Z436" s="82">
        <v>0</v>
      </c>
      <c r="AA436" s="81">
        <v>0</v>
      </c>
      <c r="AB436" s="70">
        <v>0</v>
      </c>
      <c r="AC436" s="82">
        <v>0</v>
      </c>
      <c r="AD436" s="81">
        <v>1</v>
      </c>
      <c r="AE436" s="70">
        <v>0</v>
      </c>
      <c r="AF436" s="82">
        <v>0</v>
      </c>
      <c r="AG436" s="81">
        <v>1</v>
      </c>
      <c r="AH436" s="70">
        <v>0</v>
      </c>
      <c r="AI436" s="82">
        <v>0</v>
      </c>
      <c r="AJ436" s="81">
        <v>0</v>
      </c>
      <c r="AK436" s="70">
        <v>0</v>
      </c>
      <c r="AL436" s="82">
        <v>0</v>
      </c>
    </row>
    <row r="437" spans="2:38" s="47" customFormat="1" ht="13.5" thickBot="1">
      <c r="B437" s="83" t="s">
        <v>0</v>
      </c>
      <c r="C437" s="44">
        <f aca="true" t="shared" si="36" ref="C437:AL437">SUM(C431:C436)</f>
        <v>11</v>
      </c>
      <c r="D437" s="51">
        <f t="shared" si="36"/>
        <v>6</v>
      </c>
      <c r="E437" s="52">
        <f t="shared" si="36"/>
        <v>173</v>
      </c>
      <c r="F437" s="109">
        <f t="shared" si="36"/>
        <v>4</v>
      </c>
      <c r="G437" s="51">
        <f t="shared" si="36"/>
        <v>7</v>
      </c>
      <c r="H437" s="93">
        <f t="shared" si="36"/>
        <v>136</v>
      </c>
      <c r="I437" s="245">
        <f t="shared" si="36"/>
        <v>0</v>
      </c>
      <c r="J437" s="51">
        <f t="shared" si="36"/>
        <v>0</v>
      </c>
      <c r="K437" s="93">
        <f t="shared" si="36"/>
        <v>82</v>
      </c>
      <c r="L437" s="245">
        <f t="shared" si="36"/>
        <v>5</v>
      </c>
      <c r="M437" s="51">
        <f t="shared" si="36"/>
        <v>0</v>
      </c>
      <c r="N437" s="93">
        <f t="shared" si="36"/>
        <v>27</v>
      </c>
      <c r="O437" s="245">
        <f t="shared" si="36"/>
        <v>6</v>
      </c>
      <c r="P437" s="51">
        <f t="shared" si="36"/>
        <v>0</v>
      </c>
      <c r="Q437" s="93">
        <f t="shared" si="36"/>
        <v>0</v>
      </c>
      <c r="R437" s="245">
        <f t="shared" si="36"/>
        <v>7</v>
      </c>
      <c r="S437" s="51">
        <f t="shared" si="36"/>
        <v>0</v>
      </c>
      <c r="T437" s="93">
        <f t="shared" si="36"/>
        <v>0</v>
      </c>
      <c r="U437" s="245">
        <f t="shared" si="36"/>
        <v>5</v>
      </c>
      <c r="V437" s="51">
        <f t="shared" si="36"/>
        <v>0</v>
      </c>
      <c r="W437" s="93">
        <f t="shared" si="36"/>
        <v>0</v>
      </c>
      <c r="X437" s="245">
        <f t="shared" si="36"/>
        <v>4</v>
      </c>
      <c r="Y437" s="51">
        <f t="shared" si="36"/>
        <v>0</v>
      </c>
      <c r="Z437" s="93">
        <f t="shared" si="36"/>
        <v>0</v>
      </c>
      <c r="AA437" s="245">
        <f t="shared" si="36"/>
        <v>5</v>
      </c>
      <c r="AB437" s="51">
        <f t="shared" si="36"/>
        <v>0</v>
      </c>
      <c r="AC437" s="93">
        <f t="shared" si="36"/>
        <v>0</v>
      </c>
      <c r="AD437" s="245">
        <f t="shared" si="36"/>
        <v>8</v>
      </c>
      <c r="AE437" s="51">
        <f t="shared" si="36"/>
        <v>0</v>
      </c>
      <c r="AF437" s="93">
        <f t="shared" si="36"/>
        <v>0</v>
      </c>
      <c r="AG437" s="245">
        <f t="shared" si="36"/>
        <v>7</v>
      </c>
      <c r="AH437" s="51">
        <f t="shared" si="36"/>
        <v>0</v>
      </c>
      <c r="AI437" s="93">
        <f t="shared" si="36"/>
        <v>0</v>
      </c>
      <c r="AJ437" s="245">
        <f t="shared" si="36"/>
        <v>5</v>
      </c>
      <c r="AK437" s="51">
        <f t="shared" si="36"/>
        <v>0</v>
      </c>
      <c r="AL437" s="93">
        <f t="shared" si="36"/>
        <v>0</v>
      </c>
    </row>
    <row r="438" s="47" customFormat="1" ht="12.75"/>
    <row r="439" spans="2:5" s="47" customFormat="1" ht="12.75">
      <c r="B439" s="369"/>
      <c r="C439" s="369"/>
      <c r="D439" s="369"/>
      <c r="E439" s="369"/>
    </row>
    <row r="440" spans="2:5" s="47" customFormat="1" ht="12.75">
      <c r="B440" s="92"/>
      <c r="C440" s="92"/>
      <c r="D440" s="92"/>
      <c r="E440" s="92"/>
    </row>
    <row r="441" spans="2:5" s="47" customFormat="1" ht="12.75">
      <c r="B441" s="383" t="s">
        <v>21</v>
      </c>
      <c r="C441" s="383"/>
      <c r="D441" s="383"/>
      <c r="E441" s="383"/>
    </row>
    <row r="442" spans="2:5" s="47" customFormat="1" ht="12.75">
      <c r="B442" s="60"/>
      <c r="C442" s="60"/>
      <c r="D442" s="60"/>
      <c r="E442" s="60"/>
    </row>
    <row r="443" spans="2:5" s="47" customFormat="1" ht="12.75">
      <c r="B443" s="383" t="s">
        <v>41</v>
      </c>
      <c r="C443" s="383"/>
      <c r="D443" s="383"/>
      <c r="E443" s="383"/>
    </row>
    <row r="444" spans="2:5" s="47" customFormat="1" ht="12.75">
      <c r="B444" s="60"/>
      <c r="C444" s="60"/>
      <c r="D444" s="60"/>
      <c r="E444" s="60"/>
    </row>
    <row r="445" spans="2:5" s="47" customFormat="1" ht="12.75">
      <c r="B445" s="383" t="s">
        <v>86</v>
      </c>
      <c r="C445" s="383"/>
      <c r="D445" s="383"/>
      <c r="E445" s="383"/>
    </row>
    <row r="446" spans="2:5" s="47" customFormat="1" ht="12.75">
      <c r="B446" s="60"/>
      <c r="C446" s="60"/>
      <c r="D446" s="60"/>
      <c r="E446" s="60"/>
    </row>
    <row r="447" spans="2:5" s="47" customFormat="1" ht="12.75">
      <c r="B447" s="383">
        <v>2016</v>
      </c>
      <c r="C447" s="383"/>
      <c r="D447" s="383"/>
      <c r="E447" s="383"/>
    </row>
    <row r="448" spans="2:5" s="47" customFormat="1" ht="13.5" thickBot="1">
      <c r="B448" s="4"/>
      <c r="C448" s="4"/>
      <c r="D448" s="4"/>
      <c r="E448" s="4"/>
    </row>
    <row r="449" spans="2:38" s="47" customFormat="1" ht="13.5" customHeight="1" thickBot="1">
      <c r="B449" s="377" t="s">
        <v>394</v>
      </c>
      <c r="C449" s="374" t="s">
        <v>7</v>
      </c>
      <c r="D449" s="375"/>
      <c r="E449" s="376"/>
      <c r="F449" s="374" t="s">
        <v>433</v>
      </c>
      <c r="G449" s="375"/>
      <c r="H449" s="376"/>
      <c r="I449" s="374" t="s">
        <v>434</v>
      </c>
      <c r="J449" s="375"/>
      <c r="K449" s="376"/>
      <c r="L449" s="374" t="s">
        <v>435</v>
      </c>
      <c r="M449" s="375"/>
      <c r="N449" s="376"/>
      <c r="O449" s="374" t="s">
        <v>436</v>
      </c>
      <c r="P449" s="375"/>
      <c r="Q449" s="376"/>
      <c r="R449" s="374" t="s">
        <v>437</v>
      </c>
      <c r="S449" s="375"/>
      <c r="T449" s="376"/>
      <c r="U449" s="374" t="s">
        <v>438</v>
      </c>
      <c r="V449" s="375"/>
      <c r="W449" s="376"/>
      <c r="X449" s="374" t="s">
        <v>439</v>
      </c>
      <c r="Y449" s="375"/>
      <c r="Z449" s="376"/>
      <c r="AA449" s="374" t="s">
        <v>440</v>
      </c>
      <c r="AB449" s="375"/>
      <c r="AC449" s="376"/>
      <c r="AD449" s="374" t="s">
        <v>441</v>
      </c>
      <c r="AE449" s="375"/>
      <c r="AF449" s="376"/>
      <c r="AG449" s="374" t="s">
        <v>442</v>
      </c>
      <c r="AH449" s="375"/>
      <c r="AI449" s="376"/>
      <c r="AJ449" s="374" t="s">
        <v>443</v>
      </c>
      <c r="AK449" s="375"/>
      <c r="AL449" s="376"/>
    </row>
    <row r="450" spans="2:38" s="47" customFormat="1" ht="12.75" customHeight="1">
      <c r="B450" s="378"/>
      <c r="C450" s="367" t="s">
        <v>66</v>
      </c>
      <c r="D450" s="370" t="s">
        <v>67</v>
      </c>
      <c r="E450" s="371"/>
      <c r="F450" s="367" t="s">
        <v>66</v>
      </c>
      <c r="G450" s="370" t="s">
        <v>67</v>
      </c>
      <c r="H450" s="371"/>
      <c r="I450" s="367" t="s">
        <v>66</v>
      </c>
      <c r="J450" s="370" t="s">
        <v>67</v>
      </c>
      <c r="K450" s="371"/>
      <c r="L450" s="367" t="s">
        <v>66</v>
      </c>
      <c r="M450" s="370" t="s">
        <v>67</v>
      </c>
      <c r="N450" s="371"/>
      <c r="O450" s="367" t="s">
        <v>66</v>
      </c>
      <c r="P450" s="370" t="s">
        <v>67</v>
      </c>
      <c r="Q450" s="371"/>
      <c r="R450" s="367" t="s">
        <v>66</v>
      </c>
      <c r="S450" s="370" t="s">
        <v>67</v>
      </c>
      <c r="T450" s="371"/>
      <c r="U450" s="367" t="s">
        <v>66</v>
      </c>
      <c r="V450" s="370" t="s">
        <v>67</v>
      </c>
      <c r="W450" s="371"/>
      <c r="X450" s="367" t="s">
        <v>66</v>
      </c>
      <c r="Y450" s="370" t="s">
        <v>67</v>
      </c>
      <c r="Z450" s="371"/>
      <c r="AA450" s="367" t="s">
        <v>66</v>
      </c>
      <c r="AB450" s="370" t="s">
        <v>67</v>
      </c>
      <c r="AC450" s="371"/>
      <c r="AD450" s="367" t="s">
        <v>66</v>
      </c>
      <c r="AE450" s="370" t="s">
        <v>67</v>
      </c>
      <c r="AF450" s="371"/>
      <c r="AG450" s="367" t="s">
        <v>66</v>
      </c>
      <c r="AH450" s="370" t="s">
        <v>67</v>
      </c>
      <c r="AI450" s="371"/>
      <c r="AJ450" s="367" t="s">
        <v>66</v>
      </c>
      <c r="AK450" s="370" t="s">
        <v>67</v>
      </c>
      <c r="AL450" s="371"/>
    </row>
    <row r="451" spans="2:38" s="47" customFormat="1" ht="13.5" thickBot="1">
      <c r="B451" s="379"/>
      <c r="C451" s="368"/>
      <c r="D451" s="372"/>
      <c r="E451" s="373"/>
      <c r="F451" s="368"/>
      <c r="G451" s="372"/>
      <c r="H451" s="373"/>
      <c r="I451" s="368"/>
      <c r="J451" s="372"/>
      <c r="K451" s="373"/>
      <c r="L451" s="368"/>
      <c r="M451" s="372"/>
      <c r="N451" s="373"/>
      <c r="O451" s="368"/>
      <c r="P451" s="372"/>
      <c r="Q451" s="373"/>
      <c r="R451" s="368"/>
      <c r="S451" s="372"/>
      <c r="T451" s="373"/>
      <c r="U451" s="368"/>
      <c r="V451" s="372"/>
      <c r="W451" s="373"/>
      <c r="X451" s="368"/>
      <c r="Y451" s="372"/>
      <c r="Z451" s="373"/>
      <c r="AA451" s="368"/>
      <c r="AB451" s="372"/>
      <c r="AC451" s="373"/>
      <c r="AD451" s="368"/>
      <c r="AE451" s="372"/>
      <c r="AF451" s="373"/>
      <c r="AG451" s="368"/>
      <c r="AH451" s="372"/>
      <c r="AI451" s="373"/>
      <c r="AJ451" s="368"/>
      <c r="AK451" s="372"/>
      <c r="AL451" s="373"/>
    </row>
    <row r="452" spans="2:38" s="47" customFormat="1" ht="26.25" thickBot="1">
      <c r="B452" s="380"/>
      <c r="C452" s="96" t="s">
        <v>68</v>
      </c>
      <c r="D452" s="97" t="s">
        <v>69</v>
      </c>
      <c r="E452" s="98" t="s">
        <v>70</v>
      </c>
      <c r="F452" s="96" t="s">
        <v>68</v>
      </c>
      <c r="G452" s="97" t="s">
        <v>69</v>
      </c>
      <c r="H452" s="98" t="s">
        <v>70</v>
      </c>
      <c r="I452" s="96" t="s">
        <v>68</v>
      </c>
      <c r="J452" s="97" t="s">
        <v>69</v>
      </c>
      <c r="K452" s="98" t="s">
        <v>70</v>
      </c>
      <c r="L452" s="96" t="s">
        <v>68</v>
      </c>
      <c r="M452" s="97" t="s">
        <v>69</v>
      </c>
      <c r="N452" s="98" t="s">
        <v>70</v>
      </c>
      <c r="O452" s="96" t="s">
        <v>68</v>
      </c>
      <c r="P452" s="97" t="s">
        <v>69</v>
      </c>
      <c r="Q452" s="98" t="s">
        <v>70</v>
      </c>
      <c r="R452" s="96" t="s">
        <v>68</v>
      </c>
      <c r="S452" s="97" t="s">
        <v>69</v>
      </c>
      <c r="T452" s="98" t="s">
        <v>70</v>
      </c>
      <c r="U452" s="96" t="s">
        <v>68</v>
      </c>
      <c r="V452" s="97" t="s">
        <v>69</v>
      </c>
      <c r="W452" s="98" t="s">
        <v>70</v>
      </c>
      <c r="X452" s="96" t="s">
        <v>68</v>
      </c>
      <c r="Y452" s="97" t="s">
        <v>69</v>
      </c>
      <c r="Z452" s="98" t="s">
        <v>70</v>
      </c>
      <c r="AA452" s="96" t="s">
        <v>68</v>
      </c>
      <c r="AB452" s="97" t="s">
        <v>69</v>
      </c>
      <c r="AC452" s="98" t="s">
        <v>70</v>
      </c>
      <c r="AD452" s="96" t="s">
        <v>68</v>
      </c>
      <c r="AE452" s="97" t="s">
        <v>69</v>
      </c>
      <c r="AF452" s="98" t="s">
        <v>70</v>
      </c>
      <c r="AG452" s="96" t="s">
        <v>68</v>
      </c>
      <c r="AH452" s="97" t="s">
        <v>69</v>
      </c>
      <c r="AI452" s="98" t="s">
        <v>70</v>
      </c>
      <c r="AJ452" s="96" t="s">
        <v>68</v>
      </c>
      <c r="AK452" s="97" t="s">
        <v>69</v>
      </c>
      <c r="AL452" s="98" t="s">
        <v>70</v>
      </c>
    </row>
    <row r="453" spans="2:38" s="47" customFormat="1" ht="12.75">
      <c r="B453" s="5" t="s">
        <v>289</v>
      </c>
      <c r="C453" s="76">
        <v>5</v>
      </c>
      <c r="D453" s="65">
        <v>2</v>
      </c>
      <c r="E453" s="77">
        <v>178</v>
      </c>
      <c r="F453" s="76">
        <v>1</v>
      </c>
      <c r="G453" s="65">
        <v>1</v>
      </c>
      <c r="H453" s="77">
        <v>169</v>
      </c>
      <c r="I453" s="76">
        <v>1</v>
      </c>
      <c r="J453" s="65">
        <v>0</v>
      </c>
      <c r="K453" s="77">
        <v>143</v>
      </c>
      <c r="L453" s="76">
        <v>2</v>
      </c>
      <c r="M453" s="65">
        <v>0</v>
      </c>
      <c r="N453" s="77">
        <v>112</v>
      </c>
      <c r="O453" s="76">
        <v>2</v>
      </c>
      <c r="P453" s="65">
        <v>0</v>
      </c>
      <c r="Q453" s="77">
        <v>0</v>
      </c>
      <c r="R453" s="76">
        <v>8</v>
      </c>
      <c r="S453" s="65">
        <v>0</v>
      </c>
      <c r="T453" s="77">
        <v>0</v>
      </c>
      <c r="U453" s="76">
        <v>6</v>
      </c>
      <c r="V453" s="65">
        <v>0</v>
      </c>
      <c r="W453" s="77">
        <v>0</v>
      </c>
      <c r="X453" s="76">
        <v>1</v>
      </c>
      <c r="Y453" s="65">
        <v>0</v>
      </c>
      <c r="Z453" s="77">
        <v>0</v>
      </c>
      <c r="AA453" s="76">
        <v>2</v>
      </c>
      <c r="AB453" s="65">
        <v>0</v>
      </c>
      <c r="AC453" s="77">
        <v>0</v>
      </c>
      <c r="AD453" s="76">
        <v>3</v>
      </c>
      <c r="AE453" s="65">
        <v>0</v>
      </c>
      <c r="AF453" s="77">
        <v>0</v>
      </c>
      <c r="AG453" s="76">
        <v>4</v>
      </c>
      <c r="AH453" s="65">
        <v>0</v>
      </c>
      <c r="AI453" s="77">
        <v>0</v>
      </c>
      <c r="AJ453" s="76">
        <v>1</v>
      </c>
      <c r="AK453" s="65">
        <v>0</v>
      </c>
      <c r="AL453" s="77">
        <v>0</v>
      </c>
    </row>
    <row r="454" spans="2:38" s="47" customFormat="1" ht="12.75">
      <c r="B454" s="6" t="s">
        <v>290</v>
      </c>
      <c r="C454" s="58">
        <v>0</v>
      </c>
      <c r="D454" s="55">
        <v>0</v>
      </c>
      <c r="E454" s="59">
        <v>89</v>
      </c>
      <c r="F454" s="58">
        <v>0</v>
      </c>
      <c r="G454" s="55">
        <v>0</v>
      </c>
      <c r="H454" s="59">
        <v>100</v>
      </c>
      <c r="I454" s="58">
        <v>0</v>
      </c>
      <c r="J454" s="55">
        <v>0</v>
      </c>
      <c r="K454" s="59">
        <v>84</v>
      </c>
      <c r="L454" s="58">
        <v>1</v>
      </c>
      <c r="M454" s="55">
        <v>0</v>
      </c>
      <c r="N454" s="59">
        <v>93</v>
      </c>
      <c r="O454" s="58">
        <v>0</v>
      </c>
      <c r="P454" s="55">
        <v>0</v>
      </c>
      <c r="Q454" s="59">
        <v>115</v>
      </c>
      <c r="R454" s="58">
        <v>1</v>
      </c>
      <c r="S454" s="55">
        <v>0</v>
      </c>
      <c r="T454" s="59">
        <v>29</v>
      </c>
      <c r="U454" s="58">
        <v>1</v>
      </c>
      <c r="V454" s="55">
        <v>0</v>
      </c>
      <c r="W454" s="59">
        <v>58</v>
      </c>
      <c r="X454" s="58">
        <v>0</v>
      </c>
      <c r="Y454" s="55">
        <v>0</v>
      </c>
      <c r="Z454" s="59">
        <v>68</v>
      </c>
      <c r="AA454" s="58">
        <v>0</v>
      </c>
      <c r="AB454" s="55">
        <v>0</v>
      </c>
      <c r="AC454" s="59">
        <v>67</v>
      </c>
      <c r="AD454" s="58">
        <v>1</v>
      </c>
      <c r="AE454" s="55">
        <v>0</v>
      </c>
      <c r="AF454" s="59">
        <v>41</v>
      </c>
      <c r="AG454" s="58">
        <v>0</v>
      </c>
      <c r="AH454" s="55">
        <v>0</v>
      </c>
      <c r="AI454" s="59">
        <v>46</v>
      </c>
      <c r="AJ454" s="58">
        <v>1</v>
      </c>
      <c r="AK454" s="55">
        <v>0</v>
      </c>
      <c r="AL454" s="59">
        <v>48</v>
      </c>
    </row>
    <row r="455" spans="2:38" s="47" customFormat="1" ht="12.75">
      <c r="B455" s="6" t="s">
        <v>291</v>
      </c>
      <c r="C455" s="58">
        <v>5</v>
      </c>
      <c r="D455" s="55">
        <v>2</v>
      </c>
      <c r="E455" s="59">
        <v>102</v>
      </c>
      <c r="F455" s="58">
        <v>5</v>
      </c>
      <c r="G455" s="55">
        <v>2</v>
      </c>
      <c r="H455" s="59">
        <v>44</v>
      </c>
      <c r="I455" s="58"/>
      <c r="J455" s="55"/>
      <c r="K455" s="59"/>
      <c r="L455" s="58">
        <v>3</v>
      </c>
      <c r="M455" s="55">
        <v>0</v>
      </c>
      <c r="N455" s="59">
        <v>26</v>
      </c>
      <c r="O455" s="58">
        <v>0</v>
      </c>
      <c r="P455" s="55">
        <v>0</v>
      </c>
      <c r="Q455" s="59">
        <v>0</v>
      </c>
      <c r="R455" s="58">
        <v>5</v>
      </c>
      <c r="S455" s="55">
        <v>0</v>
      </c>
      <c r="T455" s="59">
        <v>0</v>
      </c>
      <c r="U455" s="58">
        <v>6</v>
      </c>
      <c r="V455" s="55">
        <v>0</v>
      </c>
      <c r="W455" s="59">
        <v>0</v>
      </c>
      <c r="X455" s="58">
        <v>7</v>
      </c>
      <c r="Y455" s="55">
        <v>0</v>
      </c>
      <c r="Z455" s="59">
        <v>0</v>
      </c>
      <c r="AA455" s="58">
        <v>6</v>
      </c>
      <c r="AB455" s="55">
        <v>0</v>
      </c>
      <c r="AC455" s="59">
        <v>0</v>
      </c>
      <c r="AD455" s="58">
        <v>7</v>
      </c>
      <c r="AE455" s="55">
        <v>0</v>
      </c>
      <c r="AF455" s="59">
        <v>0</v>
      </c>
      <c r="AG455" s="58">
        <v>9</v>
      </c>
      <c r="AH455" s="55">
        <v>0</v>
      </c>
      <c r="AI455" s="59">
        <v>0</v>
      </c>
      <c r="AJ455" s="58">
        <v>4</v>
      </c>
      <c r="AK455" s="55">
        <v>0</v>
      </c>
      <c r="AL455" s="59">
        <v>0</v>
      </c>
    </row>
    <row r="456" spans="2:38" s="47" customFormat="1" ht="12.75">
      <c r="B456" s="6" t="s">
        <v>292</v>
      </c>
      <c r="C456" s="58">
        <v>0</v>
      </c>
      <c r="D456" s="55">
        <v>0</v>
      </c>
      <c r="E456" s="59">
        <v>0</v>
      </c>
      <c r="F456" s="58">
        <v>0</v>
      </c>
      <c r="G456" s="55">
        <v>0</v>
      </c>
      <c r="H456" s="59">
        <v>0</v>
      </c>
      <c r="I456" s="58">
        <v>0</v>
      </c>
      <c r="J456" s="55">
        <v>0</v>
      </c>
      <c r="K456" s="59">
        <v>0</v>
      </c>
      <c r="L456" s="58">
        <v>8</v>
      </c>
      <c r="M456" s="55">
        <v>0</v>
      </c>
      <c r="N456" s="59">
        <v>0</v>
      </c>
      <c r="O456" s="58">
        <v>14</v>
      </c>
      <c r="P456" s="55">
        <v>0</v>
      </c>
      <c r="Q456" s="59">
        <v>0</v>
      </c>
      <c r="R456" s="58">
        <v>12</v>
      </c>
      <c r="S456" s="55">
        <v>0</v>
      </c>
      <c r="T456" s="59">
        <v>0</v>
      </c>
      <c r="U456" s="58">
        <v>13</v>
      </c>
      <c r="V456" s="55">
        <v>0</v>
      </c>
      <c r="W456" s="59">
        <v>0</v>
      </c>
      <c r="X456" s="58">
        <v>5</v>
      </c>
      <c r="Y456" s="55">
        <v>0</v>
      </c>
      <c r="Z456" s="59">
        <v>0</v>
      </c>
      <c r="AA456" s="58">
        <v>9</v>
      </c>
      <c r="AB456" s="55">
        <v>0</v>
      </c>
      <c r="AC456" s="59">
        <v>0</v>
      </c>
      <c r="AD456" s="58">
        <v>8</v>
      </c>
      <c r="AE456" s="55">
        <v>0</v>
      </c>
      <c r="AF456" s="59">
        <v>0</v>
      </c>
      <c r="AG456" s="58">
        <v>14</v>
      </c>
      <c r="AH456" s="55">
        <v>0</v>
      </c>
      <c r="AI456" s="59">
        <v>0</v>
      </c>
      <c r="AJ456" s="58">
        <v>4</v>
      </c>
      <c r="AK456" s="55">
        <v>0</v>
      </c>
      <c r="AL456" s="59">
        <v>0</v>
      </c>
    </row>
    <row r="457" spans="2:38" s="47" customFormat="1" ht="12.75">
      <c r="B457" s="6" t="s">
        <v>293</v>
      </c>
      <c r="C457" s="58">
        <v>0</v>
      </c>
      <c r="D457" s="55">
        <v>0</v>
      </c>
      <c r="E457" s="59">
        <v>32</v>
      </c>
      <c r="F457" s="58">
        <v>2</v>
      </c>
      <c r="G457" s="55">
        <v>1</v>
      </c>
      <c r="H457" s="59">
        <v>43</v>
      </c>
      <c r="I457" s="58">
        <v>1</v>
      </c>
      <c r="J457" s="55">
        <v>0</v>
      </c>
      <c r="K457" s="59">
        <v>46</v>
      </c>
      <c r="L457" s="58">
        <v>1</v>
      </c>
      <c r="M457" s="55">
        <v>0</v>
      </c>
      <c r="N457" s="59">
        <v>48</v>
      </c>
      <c r="O457" s="58">
        <v>2</v>
      </c>
      <c r="P457" s="55">
        <v>0</v>
      </c>
      <c r="Q457" s="59">
        <v>51</v>
      </c>
      <c r="R457" s="58">
        <v>0</v>
      </c>
      <c r="S457" s="55">
        <v>0</v>
      </c>
      <c r="T457" s="59">
        <v>42</v>
      </c>
      <c r="U457" s="58">
        <v>3</v>
      </c>
      <c r="V457" s="55">
        <v>0</v>
      </c>
      <c r="W457" s="59">
        <v>35</v>
      </c>
      <c r="X457" s="58">
        <v>2</v>
      </c>
      <c r="Y457" s="55">
        <v>0</v>
      </c>
      <c r="Z457" s="59">
        <v>81</v>
      </c>
      <c r="AA457" s="58">
        <v>1</v>
      </c>
      <c r="AB457" s="55">
        <v>0</v>
      </c>
      <c r="AC457" s="59">
        <v>33</v>
      </c>
      <c r="AD457" s="58">
        <v>0</v>
      </c>
      <c r="AE457" s="55">
        <v>0</v>
      </c>
      <c r="AF457" s="59">
        <v>26</v>
      </c>
      <c r="AG457" s="58">
        <v>0</v>
      </c>
      <c r="AH457" s="55">
        <v>0</v>
      </c>
      <c r="AI457" s="59">
        <v>49</v>
      </c>
      <c r="AJ457" s="58">
        <v>1</v>
      </c>
      <c r="AK457" s="55">
        <v>0</v>
      </c>
      <c r="AL457" s="59">
        <v>24</v>
      </c>
    </row>
    <row r="458" spans="2:38" s="47" customFormat="1" ht="12.75">
      <c r="B458" s="6" t="s">
        <v>294</v>
      </c>
      <c r="C458" s="58">
        <v>12</v>
      </c>
      <c r="D458" s="55">
        <v>9</v>
      </c>
      <c r="E458" s="59">
        <v>355</v>
      </c>
      <c r="F458" s="58">
        <v>4</v>
      </c>
      <c r="G458" s="55">
        <v>8</v>
      </c>
      <c r="H458" s="59">
        <v>275</v>
      </c>
      <c r="I458" s="58">
        <v>13</v>
      </c>
      <c r="J458" s="55">
        <v>4</v>
      </c>
      <c r="K458" s="59">
        <v>297</v>
      </c>
      <c r="L458" s="58">
        <v>3</v>
      </c>
      <c r="M458" s="55">
        <v>0</v>
      </c>
      <c r="N458" s="59">
        <v>223</v>
      </c>
      <c r="O458" s="58">
        <v>5</v>
      </c>
      <c r="P458" s="55">
        <v>0</v>
      </c>
      <c r="Q458" s="59">
        <v>308</v>
      </c>
      <c r="R458" s="58">
        <v>7</v>
      </c>
      <c r="S458" s="55">
        <v>0</v>
      </c>
      <c r="T458" s="59">
        <v>324</v>
      </c>
      <c r="U458" s="58">
        <v>9</v>
      </c>
      <c r="V458" s="55">
        <v>0</v>
      </c>
      <c r="W458" s="59">
        <v>324</v>
      </c>
      <c r="X458" s="58">
        <v>11</v>
      </c>
      <c r="Y458" s="55">
        <v>0</v>
      </c>
      <c r="Z458" s="59">
        <v>291</v>
      </c>
      <c r="AA458" s="58">
        <v>3</v>
      </c>
      <c r="AB458" s="55">
        <v>0</v>
      </c>
      <c r="AC458" s="59">
        <v>260</v>
      </c>
      <c r="AD458" s="58">
        <v>3</v>
      </c>
      <c r="AE458" s="55">
        <v>0</v>
      </c>
      <c r="AF458" s="59">
        <v>259</v>
      </c>
      <c r="AG458" s="58">
        <v>6</v>
      </c>
      <c r="AH458" s="55">
        <v>0</v>
      </c>
      <c r="AI458" s="59">
        <v>278</v>
      </c>
      <c r="AJ458" s="58">
        <v>2</v>
      </c>
      <c r="AK458" s="55">
        <v>0</v>
      </c>
      <c r="AL458" s="59">
        <v>246</v>
      </c>
    </row>
    <row r="459" spans="2:38" s="47" customFormat="1" ht="12.75">
      <c r="B459" s="6" t="s">
        <v>295</v>
      </c>
      <c r="C459" s="58">
        <v>2</v>
      </c>
      <c r="D459" s="55">
        <v>2</v>
      </c>
      <c r="E459" s="59">
        <v>120</v>
      </c>
      <c r="F459" s="58">
        <v>0</v>
      </c>
      <c r="G459" s="55">
        <v>0</v>
      </c>
      <c r="H459" s="59">
        <v>139</v>
      </c>
      <c r="I459" s="58">
        <v>4</v>
      </c>
      <c r="J459" s="55">
        <v>3</v>
      </c>
      <c r="K459" s="59">
        <v>110</v>
      </c>
      <c r="L459" s="58">
        <v>6</v>
      </c>
      <c r="M459" s="55">
        <v>0</v>
      </c>
      <c r="N459" s="59">
        <v>0</v>
      </c>
      <c r="O459" s="58">
        <v>6</v>
      </c>
      <c r="P459" s="55">
        <v>0</v>
      </c>
      <c r="Q459" s="59">
        <v>0</v>
      </c>
      <c r="R459" s="58">
        <v>2</v>
      </c>
      <c r="S459" s="55">
        <v>0</v>
      </c>
      <c r="T459" s="59">
        <v>0</v>
      </c>
      <c r="U459" s="58">
        <v>1</v>
      </c>
      <c r="V459" s="55">
        <v>0</v>
      </c>
      <c r="W459" s="59">
        <v>0</v>
      </c>
      <c r="X459" s="58">
        <v>5</v>
      </c>
      <c r="Y459" s="55">
        <v>0</v>
      </c>
      <c r="Z459" s="59">
        <v>0</v>
      </c>
      <c r="AA459" s="58">
        <v>0</v>
      </c>
      <c r="AB459" s="55">
        <v>0</v>
      </c>
      <c r="AC459" s="59">
        <v>0</v>
      </c>
      <c r="AD459" s="58">
        <v>1</v>
      </c>
      <c r="AE459" s="55">
        <v>0</v>
      </c>
      <c r="AF459" s="59">
        <v>0</v>
      </c>
      <c r="AG459" s="58">
        <v>5</v>
      </c>
      <c r="AH459" s="55">
        <v>0</v>
      </c>
      <c r="AI459" s="59">
        <v>0</v>
      </c>
      <c r="AJ459" s="58">
        <v>4</v>
      </c>
      <c r="AK459" s="55">
        <v>0</v>
      </c>
      <c r="AL459" s="59">
        <v>0</v>
      </c>
    </row>
    <row r="460" spans="2:38" s="47" customFormat="1" ht="12.75">
      <c r="B460" s="6" t="s">
        <v>296</v>
      </c>
      <c r="C460" s="58">
        <v>24</v>
      </c>
      <c r="D460" s="55">
        <v>7</v>
      </c>
      <c r="E460" s="59">
        <v>191</v>
      </c>
      <c r="F460" s="58">
        <v>16</v>
      </c>
      <c r="G460" s="55">
        <v>1</v>
      </c>
      <c r="H460" s="59">
        <v>111</v>
      </c>
      <c r="I460" s="58">
        <v>11</v>
      </c>
      <c r="J460" s="55">
        <v>2</v>
      </c>
      <c r="K460" s="59">
        <v>73</v>
      </c>
      <c r="L460" s="58">
        <v>9</v>
      </c>
      <c r="M460" s="55">
        <v>0</v>
      </c>
      <c r="N460" s="59">
        <v>147</v>
      </c>
      <c r="O460" s="58">
        <v>15</v>
      </c>
      <c r="P460" s="55">
        <v>0</v>
      </c>
      <c r="Q460" s="59">
        <v>66</v>
      </c>
      <c r="R460" s="58">
        <v>11</v>
      </c>
      <c r="S460" s="55">
        <v>0</v>
      </c>
      <c r="T460" s="59">
        <v>140</v>
      </c>
      <c r="U460" s="58">
        <v>12</v>
      </c>
      <c r="V460" s="55">
        <v>0</v>
      </c>
      <c r="W460" s="59">
        <v>51</v>
      </c>
      <c r="X460" s="58">
        <v>17</v>
      </c>
      <c r="Y460" s="55">
        <v>0</v>
      </c>
      <c r="Z460" s="59">
        <v>76</v>
      </c>
      <c r="AA460" s="58">
        <v>12</v>
      </c>
      <c r="AB460" s="55">
        <v>0</v>
      </c>
      <c r="AC460" s="59">
        <v>100</v>
      </c>
      <c r="AD460" s="58">
        <v>19</v>
      </c>
      <c r="AE460" s="55">
        <v>0</v>
      </c>
      <c r="AF460" s="59">
        <v>90</v>
      </c>
      <c r="AG460" s="58">
        <v>16</v>
      </c>
      <c r="AH460" s="55">
        <v>0</v>
      </c>
      <c r="AI460" s="59">
        <v>99</v>
      </c>
      <c r="AJ460" s="58">
        <v>9</v>
      </c>
      <c r="AK460" s="55">
        <v>0</v>
      </c>
      <c r="AL460" s="59">
        <v>55</v>
      </c>
    </row>
    <row r="461" spans="2:38" s="47" customFormat="1" ht="12.75">
      <c r="B461" s="6" t="s">
        <v>297</v>
      </c>
      <c r="C461" s="58">
        <v>2</v>
      </c>
      <c r="D461" s="55">
        <v>2</v>
      </c>
      <c r="E461" s="59">
        <v>116</v>
      </c>
      <c r="F461" s="58">
        <v>6</v>
      </c>
      <c r="G461" s="55">
        <v>0</v>
      </c>
      <c r="H461" s="59">
        <v>129</v>
      </c>
      <c r="I461" s="58">
        <v>6</v>
      </c>
      <c r="J461" s="55">
        <v>4</v>
      </c>
      <c r="K461" s="59">
        <v>71</v>
      </c>
      <c r="L461" s="58">
        <v>3</v>
      </c>
      <c r="M461" s="55">
        <v>0</v>
      </c>
      <c r="N461" s="59">
        <v>105</v>
      </c>
      <c r="O461" s="58">
        <v>3</v>
      </c>
      <c r="P461" s="55">
        <v>0</v>
      </c>
      <c r="Q461" s="59">
        <v>104</v>
      </c>
      <c r="R461" s="58">
        <v>5</v>
      </c>
      <c r="S461" s="55">
        <v>0</v>
      </c>
      <c r="T461" s="59">
        <v>112</v>
      </c>
      <c r="U461" s="58">
        <v>5</v>
      </c>
      <c r="V461" s="55">
        <v>0</v>
      </c>
      <c r="W461" s="59">
        <v>90</v>
      </c>
      <c r="X461" s="58">
        <v>10</v>
      </c>
      <c r="Y461" s="55">
        <v>0</v>
      </c>
      <c r="Z461" s="59">
        <v>99</v>
      </c>
      <c r="AA461" s="58">
        <v>6</v>
      </c>
      <c r="AB461" s="55">
        <v>0</v>
      </c>
      <c r="AC461" s="59">
        <v>93</v>
      </c>
      <c r="AD461" s="58">
        <v>4</v>
      </c>
      <c r="AE461" s="55">
        <v>0</v>
      </c>
      <c r="AF461" s="59">
        <v>101</v>
      </c>
      <c r="AG461" s="58">
        <v>3</v>
      </c>
      <c r="AH461" s="55">
        <v>0</v>
      </c>
      <c r="AI461" s="59">
        <v>82</v>
      </c>
      <c r="AJ461" s="58">
        <v>13</v>
      </c>
      <c r="AK461" s="55">
        <v>0</v>
      </c>
      <c r="AL461" s="59">
        <v>93</v>
      </c>
    </row>
    <row r="462" spans="2:38" s="47" customFormat="1" ht="12.75">
      <c r="B462" s="6" t="s">
        <v>298</v>
      </c>
      <c r="C462" s="58">
        <v>20</v>
      </c>
      <c r="D462" s="55">
        <v>17</v>
      </c>
      <c r="E462" s="59">
        <v>568</v>
      </c>
      <c r="F462" s="58">
        <v>8</v>
      </c>
      <c r="G462" s="55">
        <v>10</v>
      </c>
      <c r="H462" s="59">
        <v>86</v>
      </c>
      <c r="I462" s="58">
        <v>1</v>
      </c>
      <c r="J462" s="55">
        <v>0</v>
      </c>
      <c r="K462" s="59">
        <v>0</v>
      </c>
      <c r="L462" s="58">
        <v>16</v>
      </c>
      <c r="M462" s="55">
        <v>0</v>
      </c>
      <c r="N462" s="59">
        <v>0</v>
      </c>
      <c r="O462" s="58">
        <v>20</v>
      </c>
      <c r="P462" s="55">
        <v>0</v>
      </c>
      <c r="Q462" s="59">
        <v>0</v>
      </c>
      <c r="R462" s="58">
        <v>11</v>
      </c>
      <c r="S462" s="55">
        <v>0</v>
      </c>
      <c r="T462" s="59">
        <v>0</v>
      </c>
      <c r="U462" s="58">
        <v>8</v>
      </c>
      <c r="V462" s="55">
        <v>0</v>
      </c>
      <c r="W462" s="59">
        <v>0</v>
      </c>
      <c r="X462" s="58">
        <v>21</v>
      </c>
      <c r="Y462" s="55">
        <v>0</v>
      </c>
      <c r="Z462" s="59">
        <v>0</v>
      </c>
      <c r="AA462" s="58">
        <v>11</v>
      </c>
      <c r="AB462" s="55">
        <v>0</v>
      </c>
      <c r="AC462" s="59">
        <v>0</v>
      </c>
      <c r="AD462" s="58">
        <v>20</v>
      </c>
      <c r="AE462" s="55">
        <v>0</v>
      </c>
      <c r="AF462" s="59">
        <v>0</v>
      </c>
      <c r="AG462" s="58">
        <v>23</v>
      </c>
      <c r="AH462" s="55">
        <v>0</v>
      </c>
      <c r="AI462" s="59">
        <v>0</v>
      </c>
      <c r="AJ462" s="58">
        <v>16</v>
      </c>
      <c r="AK462" s="55">
        <v>0</v>
      </c>
      <c r="AL462" s="59">
        <v>0</v>
      </c>
    </row>
    <row r="463" spans="2:38" s="47" customFormat="1" ht="12.75">
      <c r="B463" s="6" t="s">
        <v>299</v>
      </c>
      <c r="C463" s="58">
        <v>0</v>
      </c>
      <c r="D463" s="55">
        <v>0</v>
      </c>
      <c r="E463" s="59">
        <v>0</v>
      </c>
      <c r="F463" s="58">
        <v>0</v>
      </c>
      <c r="G463" s="55">
        <v>0</v>
      </c>
      <c r="H463" s="59">
        <v>0</v>
      </c>
      <c r="I463" s="58">
        <v>0</v>
      </c>
      <c r="J463" s="55">
        <v>0</v>
      </c>
      <c r="K463" s="59">
        <v>0</v>
      </c>
      <c r="L463" s="58">
        <v>3</v>
      </c>
      <c r="M463" s="55">
        <v>0</v>
      </c>
      <c r="N463" s="59">
        <v>0</v>
      </c>
      <c r="O463" s="58">
        <v>1</v>
      </c>
      <c r="P463" s="55">
        <v>0</v>
      </c>
      <c r="Q463" s="59">
        <v>0</v>
      </c>
      <c r="R463" s="58">
        <v>2</v>
      </c>
      <c r="S463" s="55">
        <v>0</v>
      </c>
      <c r="T463" s="59">
        <v>0</v>
      </c>
      <c r="U463" s="58">
        <v>1</v>
      </c>
      <c r="V463" s="55">
        <v>0</v>
      </c>
      <c r="W463" s="59">
        <v>0</v>
      </c>
      <c r="X463" s="58">
        <v>8</v>
      </c>
      <c r="Y463" s="55">
        <v>0</v>
      </c>
      <c r="Z463" s="59">
        <v>0</v>
      </c>
      <c r="AA463" s="58">
        <v>2</v>
      </c>
      <c r="AB463" s="55">
        <v>0</v>
      </c>
      <c r="AC463" s="59">
        <v>0</v>
      </c>
      <c r="AD463" s="58">
        <v>0</v>
      </c>
      <c r="AE463" s="55">
        <v>0</v>
      </c>
      <c r="AF463" s="59">
        <v>0</v>
      </c>
      <c r="AG463" s="58">
        <v>2</v>
      </c>
      <c r="AH463" s="55">
        <v>0</v>
      </c>
      <c r="AI463" s="59">
        <v>0</v>
      </c>
      <c r="AJ463" s="58">
        <v>0</v>
      </c>
      <c r="AK463" s="55">
        <v>0</v>
      </c>
      <c r="AL463" s="59">
        <v>0</v>
      </c>
    </row>
    <row r="464" spans="2:38" s="47" customFormat="1" ht="12.75">
      <c r="B464" s="6" t="s">
        <v>411</v>
      </c>
      <c r="C464" s="58">
        <v>3</v>
      </c>
      <c r="D464" s="55">
        <v>3</v>
      </c>
      <c r="E464" s="59">
        <v>104</v>
      </c>
      <c r="F464" s="58">
        <v>1</v>
      </c>
      <c r="G464" s="55">
        <v>0</v>
      </c>
      <c r="H464" s="59">
        <v>85</v>
      </c>
      <c r="I464" s="58">
        <v>5</v>
      </c>
      <c r="J464" s="55">
        <v>1</v>
      </c>
      <c r="K464" s="59">
        <v>84</v>
      </c>
      <c r="L464" s="58">
        <v>1</v>
      </c>
      <c r="M464" s="55">
        <v>0</v>
      </c>
      <c r="N464" s="59">
        <v>79</v>
      </c>
      <c r="O464" s="58">
        <v>0</v>
      </c>
      <c r="P464" s="55">
        <v>0</v>
      </c>
      <c r="Q464" s="59">
        <v>100</v>
      </c>
      <c r="R464" s="58">
        <v>0</v>
      </c>
      <c r="S464" s="55">
        <v>0</v>
      </c>
      <c r="T464" s="59">
        <v>83</v>
      </c>
      <c r="U464" s="58">
        <v>0</v>
      </c>
      <c r="V464" s="55">
        <v>0</v>
      </c>
      <c r="W464" s="59">
        <v>61</v>
      </c>
      <c r="X464" s="58">
        <v>0</v>
      </c>
      <c r="Y464" s="55">
        <v>0</v>
      </c>
      <c r="Z464" s="59">
        <v>91</v>
      </c>
      <c r="AA464" s="58">
        <v>0</v>
      </c>
      <c r="AB464" s="55">
        <v>0</v>
      </c>
      <c r="AC464" s="59">
        <v>69</v>
      </c>
      <c r="AD464" s="58">
        <v>1</v>
      </c>
      <c r="AE464" s="55">
        <v>0</v>
      </c>
      <c r="AF464" s="59">
        <v>77</v>
      </c>
      <c r="AG464" s="58">
        <v>1</v>
      </c>
      <c r="AH464" s="55">
        <v>0</v>
      </c>
      <c r="AI464" s="59">
        <v>65</v>
      </c>
      <c r="AJ464" s="58">
        <v>2</v>
      </c>
      <c r="AK464" s="55">
        <v>0</v>
      </c>
      <c r="AL464" s="59">
        <v>59</v>
      </c>
    </row>
    <row r="465" spans="2:38" s="47" customFormat="1" ht="12.75">
      <c r="B465" s="6" t="s">
        <v>300</v>
      </c>
      <c r="C465" s="58">
        <v>27</v>
      </c>
      <c r="D465" s="55">
        <v>10</v>
      </c>
      <c r="E465" s="59">
        <v>523</v>
      </c>
      <c r="F465" s="58">
        <v>17</v>
      </c>
      <c r="G465" s="55">
        <v>12</v>
      </c>
      <c r="H465" s="59">
        <v>422</v>
      </c>
      <c r="I465" s="58">
        <v>24</v>
      </c>
      <c r="J465" s="55">
        <v>6</v>
      </c>
      <c r="K465" s="59">
        <v>368</v>
      </c>
      <c r="L465" s="58">
        <v>15</v>
      </c>
      <c r="M465" s="55">
        <v>0</v>
      </c>
      <c r="N465" s="59">
        <v>393</v>
      </c>
      <c r="O465" s="58">
        <v>21</v>
      </c>
      <c r="P465" s="55">
        <v>0</v>
      </c>
      <c r="Q465" s="59">
        <v>193</v>
      </c>
      <c r="R465" s="58">
        <v>25</v>
      </c>
      <c r="S465" s="55">
        <v>0</v>
      </c>
      <c r="T465" s="59">
        <v>0</v>
      </c>
      <c r="U465" s="58">
        <v>12</v>
      </c>
      <c r="V465" s="55">
        <v>0</v>
      </c>
      <c r="W465" s="59">
        <v>0</v>
      </c>
      <c r="X465" s="58">
        <v>22</v>
      </c>
      <c r="Y465" s="55">
        <v>0</v>
      </c>
      <c r="Z465" s="59">
        <v>0</v>
      </c>
      <c r="AA465" s="58">
        <v>20</v>
      </c>
      <c r="AB465" s="55">
        <v>0</v>
      </c>
      <c r="AC465" s="59">
        <v>0</v>
      </c>
      <c r="AD465" s="58">
        <v>18</v>
      </c>
      <c r="AE465" s="55">
        <v>0</v>
      </c>
      <c r="AF465" s="59">
        <v>0</v>
      </c>
      <c r="AG465" s="58">
        <v>19</v>
      </c>
      <c r="AH465" s="55">
        <v>0</v>
      </c>
      <c r="AI465" s="59">
        <v>0</v>
      </c>
      <c r="AJ465" s="58">
        <v>17</v>
      </c>
      <c r="AK465" s="55">
        <v>0</v>
      </c>
      <c r="AL465" s="59">
        <v>0</v>
      </c>
    </row>
    <row r="466" spans="2:38" s="47" customFormat="1" ht="12.75">
      <c r="B466" s="6" t="s">
        <v>301</v>
      </c>
      <c r="C466" s="58">
        <v>4</v>
      </c>
      <c r="D466" s="55">
        <v>0</v>
      </c>
      <c r="E466" s="59">
        <v>10</v>
      </c>
      <c r="F466" s="58">
        <v>6</v>
      </c>
      <c r="G466" s="55">
        <v>1</v>
      </c>
      <c r="H466" s="59">
        <v>22</v>
      </c>
      <c r="I466" s="58">
        <v>0</v>
      </c>
      <c r="J466" s="55">
        <v>0</v>
      </c>
      <c r="K466" s="59">
        <v>21</v>
      </c>
      <c r="L466" s="58">
        <v>8</v>
      </c>
      <c r="M466" s="55">
        <v>0</v>
      </c>
      <c r="N466" s="59">
        <v>126</v>
      </c>
      <c r="O466" s="58">
        <v>2</v>
      </c>
      <c r="P466" s="55">
        <v>0</v>
      </c>
      <c r="Q466" s="59">
        <v>73</v>
      </c>
      <c r="R466" s="58">
        <v>3</v>
      </c>
      <c r="S466" s="55">
        <v>0</v>
      </c>
      <c r="T466" s="59">
        <v>55</v>
      </c>
      <c r="U466" s="58">
        <v>4</v>
      </c>
      <c r="V466" s="55">
        <v>0</v>
      </c>
      <c r="W466" s="59">
        <v>76</v>
      </c>
      <c r="X466" s="58">
        <v>6</v>
      </c>
      <c r="Y466" s="55">
        <v>0</v>
      </c>
      <c r="Z466" s="59">
        <v>40</v>
      </c>
      <c r="AA466" s="58">
        <v>0</v>
      </c>
      <c r="AB466" s="55">
        <v>0</v>
      </c>
      <c r="AC466" s="59">
        <v>72</v>
      </c>
      <c r="AD466" s="58">
        <v>7</v>
      </c>
      <c r="AE466" s="55">
        <v>0</v>
      </c>
      <c r="AF466" s="59">
        <v>77</v>
      </c>
      <c r="AG466" s="58">
        <v>3</v>
      </c>
      <c r="AH466" s="55">
        <v>0</v>
      </c>
      <c r="AI466" s="59">
        <v>87</v>
      </c>
      <c r="AJ466" s="58">
        <v>5</v>
      </c>
      <c r="AK466" s="55">
        <v>0</v>
      </c>
      <c r="AL466" s="59">
        <v>43</v>
      </c>
    </row>
    <row r="467" spans="2:38" s="47" customFormat="1" ht="12.75">
      <c r="B467" s="6" t="s">
        <v>302</v>
      </c>
      <c r="C467" s="58">
        <v>12</v>
      </c>
      <c r="D467" s="55">
        <v>3</v>
      </c>
      <c r="E467" s="59">
        <v>578</v>
      </c>
      <c r="F467" s="58">
        <v>9</v>
      </c>
      <c r="G467" s="55">
        <v>6</v>
      </c>
      <c r="H467" s="59">
        <v>656</v>
      </c>
      <c r="I467" s="58">
        <v>12</v>
      </c>
      <c r="J467" s="55">
        <v>1</v>
      </c>
      <c r="K467" s="59">
        <v>318</v>
      </c>
      <c r="L467" s="58">
        <v>7</v>
      </c>
      <c r="M467" s="55">
        <v>0</v>
      </c>
      <c r="N467" s="59">
        <v>100</v>
      </c>
      <c r="O467" s="58">
        <v>7</v>
      </c>
      <c r="P467" s="55">
        <v>0</v>
      </c>
      <c r="Q467" s="59">
        <v>0</v>
      </c>
      <c r="R467" s="58">
        <v>16</v>
      </c>
      <c r="S467" s="55">
        <v>0</v>
      </c>
      <c r="T467" s="59">
        <v>12</v>
      </c>
      <c r="U467" s="58">
        <v>13</v>
      </c>
      <c r="V467" s="55">
        <v>0</v>
      </c>
      <c r="W467" s="59">
        <v>144</v>
      </c>
      <c r="X467" s="58">
        <v>13</v>
      </c>
      <c r="Y467" s="55">
        <v>0</v>
      </c>
      <c r="Z467" s="59">
        <v>128</v>
      </c>
      <c r="AA467" s="58">
        <v>7</v>
      </c>
      <c r="AB467" s="55">
        <v>0</v>
      </c>
      <c r="AC467" s="59">
        <v>13</v>
      </c>
      <c r="AD467" s="58">
        <v>8</v>
      </c>
      <c r="AE467" s="55">
        <v>0</v>
      </c>
      <c r="AF467" s="59">
        <v>127</v>
      </c>
      <c r="AG467" s="58">
        <v>6</v>
      </c>
      <c r="AH467" s="55">
        <v>0</v>
      </c>
      <c r="AI467" s="59">
        <v>156</v>
      </c>
      <c r="AJ467" s="58">
        <v>5</v>
      </c>
      <c r="AK467" s="55">
        <v>0</v>
      </c>
      <c r="AL467" s="59">
        <v>170</v>
      </c>
    </row>
    <row r="468" spans="2:38" s="47" customFormat="1" ht="12.75">
      <c r="B468" s="6" t="s">
        <v>303</v>
      </c>
      <c r="C468" s="58">
        <v>7</v>
      </c>
      <c r="D468" s="55">
        <v>5</v>
      </c>
      <c r="E468" s="59">
        <v>160</v>
      </c>
      <c r="F468" s="58">
        <v>6</v>
      </c>
      <c r="G468" s="55">
        <v>2</v>
      </c>
      <c r="H468" s="59">
        <v>151</v>
      </c>
      <c r="I468" s="58">
        <v>1</v>
      </c>
      <c r="J468" s="55">
        <v>0</v>
      </c>
      <c r="K468" s="59">
        <v>131</v>
      </c>
      <c r="L468" s="58">
        <v>1</v>
      </c>
      <c r="M468" s="55">
        <v>0</v>
      </c>
      <c r="N468" s="59">
        <v>0</v>
      </c>
      <c r="O468" s="58">
        <v>5</v>
      </c>
      <c r="P468" s="55">
        <v>0</v>
      </c>
      <c r="Q468" s="59">
        <v>0</v>
      </c>
      <c r="R468" s="58">
        <v>4</v>
      </c>
      <c r="S468" s="55">
        <v>0</v>
      </c>
      <c r="T468" s="59">
        <v>0</v>
      </c>
      <c r="U468" s="58">
        <v>3</v>
      </c>
      <c r="V468" s="55">
        <v>0</v>
      </c>
      <c r="W468" s="59">
        <v>0</v>
      </c>
      <c r="X468" s="58">
        <v>2</v>
      </c>
      <c r="Y468" s="55">
        <v>0</v>
      </c>
      <c r="Z468" s="59">
        <v>0</v>
      </c>
      <c r="AA468" s="58">
        <v>12</v>
      </c>
      <c r="AB468" s="55">
        <v>0</v>
      </c>
      <c r="AC468" s="59">
        <v>0</v>
      </c>
      <c r="AD468" s="58">
        <v>5</v>
      </c>
      <c r="AE468" s="55">
        <v>0</v>
      </c>
      <c r="AF468" s="59">
        <v>0</v>
      </c>
      <c r="AG468" s="58">
        <v>5</v>
      </c>
      <c r="AH468" s="55">
        <v>0</v>
      </c>
      <c r="AI468" s="59">
        <v>0</v>
      </c>
      <c r="AJ468" s="58">
        <v>3</v>
      </c>
      <c r="AK468" s="55">
        <v>0</v>
      </c>
      <c r="AL468" s="59">
        <v>0</v>
      </c>
    </row>
    <row r="469" spans="2:38" s="47" customFormat="1" ht="12.75">
      <c r="B469" s="6" t="s">
        <v>412</v>
      </c>
      <c r="C469" s="58">
        <v>0</v>
      </c>
      <c r="D469" s="55">
        <v>0</v>
      </c>
      <c r="E469" s="59">
        <v>228</v>
      </c>
      <c r="F469" s="58">
        <v>1</v>
      </c>
      <c r="G469" s="55">
        <v>0</v>
      </c>
      <c r="H469" s="59">
        <v>159</v>
      </c>
      <c r="I469" s="58">
        <v>0</v>
      </c>
      <c r="J469" s="55">
        <v>0</v>
      </c>
      <c r="K469" s="59">
        <v>152</v>
      </c>
      <c r="L469" s="58">
        <v>0</v>
      </c>
      <c r="M469" s="55">
        <v>0</v>
      </c>
      <c r="N469" s="59">
        <v>222</v>
      </c>
      <c r="O469" s="58">
        <v>0</v>
      </c>
      <c r="P469" s="55">
        <v>0</v>
      </c>
      <c r="Q469" s="59">
        <v>277</v>
      </c>
      <c r="R469" s="58">
        <v>1</v>
      </c>
      <c r="S469" s="55">
        <v>0</v>
      </c>
      <c r="T469" s="59">
        <v>199</v>
      </c>
      <c r="U469" s="58">
        <v>0</v>
      </c>
      <c r="V469" s="55">
        <v>0</v>
      </c>
      <c r="W469" s="59">
        <v>194</v>
      </c>
      <c r="X469" s="58">
        <v>1</v>
      </c>
      <c r="Y469" s="55">
        <v>0</v>
      </c>
      <c r="Z469" s="59">
        <v>189</v>
      </c>
      <c r="AA469" s="58">
        <v>0</v>
      </c>
      <c r="AB469" s="55">
        <v>0</v>
      </c>
      <c r="AC469" s="59">
        <v>161</v>
      </c>
      <c r="AD469" s="58">
        <v>1</v>
      </c>
      <c r="AE469" s="55">
        <v>0</v>
      </c>
      <c r="AF469" s="59">
        <v>103</v>
      </c>
      <c r="AG469" s="58">
        <v>1</v>
      </c>
      <c r="AH469" s="55">
        <v>0</v>
      </c>
      <c r="AI469" s="59">
        <v>253</v>
      </c>
      <c r="AJ469" s="58">
        <v>1</v>
      </c>
      <c r="AK469" s="55">
        <v>0</v>
      </c>
      <c r="AL469" s="59">
        <v>138</v>
      </c>
    </row>
    <row r="470" spans="2:38" s="47" customFormat="1" ht="12.75">
      <c r="B470" s="6" t="s">
        <v>304</v>
      </c>
      <c r="C470" s="58">
        <v>0</v>
      </c>
      <c r="D470" s="55">
        <v>0</v>
      </c>
      <c r="E470" s="59">
        <v>0</v>
      </c>
      <c r="F470" s="58">
        <v>1</v>
      </c>
      <c r="G470" s="55">
        <v>0</v>
      </c>
      <c r="H470" s="59">
        <v>32</v>
      </c>
      <c r="I470" s="58">
        <v>1</v>
      </c>
      <c r="J470" s="55">
        <v>0</v>
      </c>
      <c r="K470" s="59">
        <v>18</v>
      </c>
      <c r="L470" s="58">
        <v>0</v>
      </c>
      <c r="M470" s="55">
        <v>0</v>
      </c>
      <c r="N470" s="59">
        <v>0</v>
      </c>
      <c r="O470" s="58">
        <v>7</v>
      </c>
      <c r="P470" s="55">
        <v>0</v>
      </c>
      <c r="Q470" s="59">
        <v>0</v>
      </c>
      <c r="R470" s="58">
        <v>1</v>
      </c>
      <c r="S470" s="55">
        <v>0</v>
      </c>
      <c r="T470" s="59">
        <v>0</v>
      </c>
      <c r="U470" s="58">
        <v>6</v>
      </c>
      <c r="V470" s="55">
        <v>0</v>
      </c>
      <c r="W470" s="59">
        <v>0</v>
      </c>
      <c r="X470" s="58">
        <v>4</v>
      </c>
      <c r="Y470" s="55">
        <v>0</v>
      </c>
      <c r="Z470" s="59">
        <v>0</v>
      </c>
      <c r="AA470" s="58">
        <v>1</v>
      </c>
      <c r="AB470" s="55">
        <v>0</v>
      </c>
      <c r="AC470" s="59">
        <v>0</v>
      </c>
      <c r="AD470" s="58">
        <v>0</v>
      </c>
      <c r="AE470" s="55">
        <v>0</v>
      </c>
      <c r="AF470" s="59">
        <v>18</v>
      </c>
      <c r="AG470" s="58">
        <v>2</v>
      </c>
      <c r="AH470" s="55">
        <v>0</v>
      </c>
      <c r="AI470" s="59">
        <v>21</v>
      </c>
      <c r="AJ470" s="58">
        <v>1</v>
      </c>
      <c r="AK470" s="55">
        <v>0</v>
      </c>
      <c r="AL470" s="59">
        <v>5</v>
      </c>
    </row>
    <row r="471" spans="2:38" s="47" customFormat="1" ht="12.75">
      <c r="B471" s="6" t="s">
        <v>305</v>
      </c>
      <c r="C471" s="58">
        <v>0</v>
      </c>
      <c r="D471" s="55">
        <v>0</v>
      </c>
      <c r="E471" s="59">
        <v>0</v>
      </c>
      <c r="F471" s="58">
        <v>0</v>
      </c>
      <c r="G471" s="55">
        <v>0</v>
      </c>
      <c r="H471" s="59">
        <v>0</v>
      </c>
      <c r="I471" s="58">
        <v>0</v>
      </c>
      <c r="J471" s="55">
        <v>0</v>
      </c>
      <c r="K471" s="59">
        <v>0</v>
      </c>
      <c r="L471" s="58">
        <v>2</v>
      </c>
      <c r="M471" s="55">
        <v>0</v>
      </c>
      <c r="N471" s="59">
        <v>0</v>
      </c>
      <c r="O471" s="58">
        <v>2</v>
      </c>
      <c r="P471" s="55">
        <v>0</v>
      </c>
      <c r="Q471" s="59">
        <v>0</v>
      </c>
      <c r="R471" s="58">
        <v>0</v>
      </c>
      <c r="S471" s="55">
        <v>0</v>
      </c>
      <c r="T471" s="59">
        <v>0</v>
      </c>
      <c r="U471" s="58">
        <v>3</v>
      </c>
      <c r="V471" s="55">
        <v>0</v>
      </c>
      <c r="W471" s="59">
        <v>0</v>
      </c>
      <c r="X471" s="58">
        <v>0</v>
      </c>
      <c r="Y471" s="55">
        <v>0</v>
      </c>
      <c r="Z471" s="59">
        <v>0</v>
      </c>
      <c r="AA471" s="58">
        <v>2</v>
      </c>
      <c r="AB471" s="55">
        <v>0</v>
      </c>
      <c r="AC471" s="59">
        <v>0</v>
      </c>
      <c r="AD471" s="58">
        <v>4</v>
      </c>
      <c r="AE471" s="55">
        <v>0</v>
      </c>
      <c r="AF471" s="59">
        <v>0</v>
      </c>
      <c r="AG471" s="58">
        <v>4</v>
      </c>
      <c r="AH471" s="55">
        <v>0</v>
      </c>
      <c r="AI471" s="59">
        <v>0</v>
      </c>
      <c r="AJ471" s="58">
        <v>2</v>
      </c>
      <c r="AK471" s="55">
        <v>0</v>
      </c>
      <c r="AL471" s="59">
        <v>0</v>
      </c>
    </row>
    <row r="472" spans="2:38" s="47" customFormat="1" ht="12.75">
      <c r="B472" s="6" t="s">
        <v>306</v>
      </c>
      <c r="C472" s="58">
        <v>1</v>
      </c>
      <c r="D472" s="55">
        <v>0</v>
      </c>
      <c r="E472" s="59">
        <v>27</v>
      </c>
      <c r="F472" s="58">
        <v>0</v>
      </c>
      <c r="G472" s="55">
        <v>0</v>
      </c>
      <c r="H472" s="59">
        <v>0</v>
      </c>
      <c r="I472" s="58">
        <v>0</v>
      </c>
      <c r="J472" s="55">
        <v>0</v>
      </c>
      <c r="K472" s="59">
        <v>0</v>
      </c>
      <c r="L472" s="58">
        <v>3</v>
      </c>
      <c r="M472" s="55">
        <v>0</v>
      </c>
      <c r="N472" s="59">
        <v>0</v>
      </c>
      <c r="O472" s="58">
        <v>5</v>
      </c>
      <c r="P472" s="55">
        <v>0</v>
      </c>
      <c r="Q472" s="59">
        <v>0</v>
      </c>
      <c r="R472" s="58">
        <v>2</v>
      </c>
      <c r="S472" s="55">
        <v>0</v>
      </c>
      <c r="T472" s="59">
        <v>0</v>
      </c>
      <c r="U472" s="58">
        <v>12</v>
      </c>
      <c r="V472" s="55">
        <v>0</v>
      </c>
      <c r="W472" s="59">
        <v>0</v>
      </c>
      <c r="X472" s="58">
        <v>1</v>
      </c>
      <c r="Y472" s="55">
        <v>0</v>
      </c>
      <c r="Z472" s="59">
        <v>0</v>
      </c>
      <c r="AA472" s="58">
        <v>2</v>
      </c>
      <c r="AB472" s="55">
        <v>0</v>
      </c>
      <c r="AC472" s="59">
        <v>0</v>
      </c>
      <c r="AD472" s="58">
        <v>4</v>
      </c>
      <c r="AE472" s="55">
        <v>0</v>
      </c>
      <c r="AF472" s="59">
        <v>0</v>
      </c>
      <c r="AG472" s="58">
        <v>2</v>
      </c>
      <c r="AH472" s="55">
        <v>0</v>
      </c>
      <c r="AI472" s="59">
        <v>0</v>
      </c>
      <c r="AJ472" s="58">
        <v>3</v>
      </c>
      <c r="AK472" s="55">
        <v>0</v>
      </c>
      <c r="AL472" s="59">
        <v>0</v>
      </c>
    </row>
    <row r="473" spans="2:38" s="47" customFormat="1" ht="12.75">
      <c r="B473" s="6" t="s">
        <v>307</v>
      </c>
      <c r="C473" s="58">
        <v>1</v>
      </c>
      <c r="D473" s="55">
        <v>1</v>
      </c>
      <c r="E473" s="59">
        <v>85</v>
      </c>
      <c r="F473" s="58">
        <v>0</v>
      </c>
      <c r="G473" s="55">
        <v>0</v>
      </c>
      <c r="H473" s="59">
        <v>64</v>
      </c>
      <c r="I473" s="58">
        <v>5</v>
      </c>
      <c r="J473" s="55">
        <v>2</v>
      </c>
      <c r="K473" s="59">
        <v>77</v>
      </c>
      <c r="L473" s="58">
        <v>3</v>
      </c>
      <c r="M473" s="55">
        <v>0</v>
      </c>
      <c r="N473" s="59">
        <v>0</v>
      </c>
      <c r="O473" s="58">
        <v>3</v>
      </c>
      <c r="P473" s="55">
        <v>0</v>
      </c>
      <c r="Q473" s="59">
        <v>0</v>
      </c>
      <c r="R473" s="58">
        <v>4</v>
      </c>
      <c r="S473" s="55">
        <v>0</v>
      </c>
      <c r="T473" s="59">
        <v>0</v>
      </c>
      <c r="U473" s="58">
        <v>2</v>
      </c>
      <c r="V473" s="55">
        <v>0</v>
      </c>
      <c r="W473" s="59">
        <v>0</v>
      </c>
      <c r="X473" s="58">
        <v>2</v>
      </c>
      <c r="Y473" s="55">
        <v>0</v>
      </c>
      <c r="Z473" s="59">
        <v>0</v>
      </c>
      <c r="AA473" s="58">
        <v>1</v>
      </c>
      <c r="AB473" s="55">
        <v>0</v>
      </c>
      <c r="AC473" s="59">
        <v>0</v>
      </c>
      <c r="AD473" s="58">
        <v>0</v>
      </c>
      <c r="AE473" s="55">
        <v>0</v>
      </c>
      <c r="AF473" s="59">
        <v>0</v>
      </c>
      <c r="AG473" s="58">
        <v>0</v>
      </c>
      <c r="AH473" s="55">
        <v>0</v>
      </c>
      <c r="AI473" s="59">
        <v>0</v>
      </c>
      <c r="AJ473" s="58">
        <v>1</v>
      </c>
      <c r="AK473" s="55">
        <v>0</v>
      </c>
      <c r="AL473" s="59">
        <v>0</v>
      </c>
    </row>
    <row r="474" spans="2:38" s="47" customFormat="1" ht="12.75">
      <c r="B474" s="6" t="s">
        <v>308</v>
      </c>
      <c r="C474" s="58">
        <v>2</v>
      </c>
      <c r="D474" s="55">
        <v>2</v>
      </c>
      <c r="E474" s="59">
        <v>250</v>
      </c>
      <c r="F474" s="58">
        <v>3</v>
      </c>
      <c r="G474" s="55">
        <v>3</v>
      </c>
      <c r="H474" s="59">
        <v>206</v>
      </c>
      <c r="I474" s="58">
        <v>2</v>
      </c>
      <c r="J474" s="55">
        <v>1</v>
      </c>
      <c r="K474" s="59">
        <v>137</v>
      </c>
      <c r="L474" s="58">
        <v>1</v>
      </c>
      <c r="M474" s="55">
        <v>0</v>
      </c>
      <c r="N474" s="59">
        <v>0</v>
      </c>
      <c r="O474" s="58">
        <v>7</v>
      </c>
      <c r="P474" s="55">
        <v>0</v>
      </c>
      <c r="Q474" s="59">
        <v>0</v>
      </c>
      <c r="R474" s="58">
        <v>6</v>
      </c>
      <c r="S474" s="55">
        <v>0</v>
      </c>
      <c r="T474" s="59">
        <v>0</v>
      </c>
      <c r="U474" s="58">
        <v>2</v>
      </c>
      <c r="V474" s="55">
        <v>0</v>
      </c>
      <c r="W474" s="59">
        <v>0</v>
      </c>
      <c r="X474" s="58">
        <v>4</v>
      </c>
      <c r="Y474" s="55">
        <v>0</v>
      </c>
      <c r="Z474" s="59">
        <v>0</v>
      </c>
      <c r="AA474" s="58">
        <v>3</v>
      </c>
      <c r="AB474" s="55">
        <v>0</v>
      </c>
      <c r="AC474" s="59">
        <v>0</v>
      </c>
      <c r="AD474" s="58">
        <v>2</v>
      </c>
      <c r="AE474" s="55">
        <v>0</v>
      </c>
      <c r="AF474" s="59">
        <v>0</v>
      </c>
      <c r="AG474" s="58">
        <v>7</v>
      </c>
      <c r="AH474" s="55">
        <v>0</v>
      </c>
      <c r="AI474" s="59">
        <v>0</v>
      </c>
      <c r="AJ474" s="58">
        <v>4</v>
      </c>
      <c r="AK474" s="55">
        <v>0</v>
      </c>
      <c r="AL474" s="59">
        <v>0</v>
      </c>
    </row>
    <row r="475" spans="2:38" s="47" customFormat="1" ht="12.75">
      <c r="B475" s="6" t="s">
        <v>309</v>
      </c>
      <c r="C475" s="58">
        <v>0</v>
      </c>
      <c r="D475" s="55">
        <v>0</v>
      </c>
      <c r="E475" s="59">
        <v>0</v>
      </c>
      <c r="F475" s="58">
        <v>0</v>
      </c>
      <c r="G475" s="55">
        <v>0</v>
      </c>
      <c r="H475" s="59">
        <v>0</v>
      </c>
      <c r="I475" s="58">
        <v>0</v>
      </c>
      <c r="J475" s="55">
        <v>0</v>
      </c>
      <c r="K475" s="59">
        <v>0</v>
      </c>
      <c r="L475" s="58">
        <v>6</v>
      </c>
      <c r="M475" s="55">
        <v>0</v>
      </c>
      <c r="N475" s="59">
        <v>0</v>
      </c>
      <c r="O475" s="58">
        <v>4</v>
      </c>
      <c r="P475" s="55">
        <v>0</v>
      </c>
      <c r="Q475" s="59">
        <v>0</v>
      </c>
      <c r="R475" s="58">
        <v>2</v>
      </c>
      <c r="S475" s="55">
        <v>0</v>
      </c>
      <c r="T475" s="59">
        <v>0</v>
      </c>
      <c r="U475" s="58">
        <v>1</v>
      </c>
      <c r="V475" s="55">
        <v>0</v>
      </c>
      <c r="W475" s="59">
        <v>0</v>
      </c>
      <c r="X475" s="58">
        <v>4</v>
      </c>
      <c r="Y475" s="55">
        <v>0</v>
      </c>
      <c r="Z475" s="59">
        <v>0</v>
      </c>
      <c r="AA475" s="58">
        <v>1</v>
      </c>
      <c r="AB475" s="55">
        <v>0</v>
      </c>
      <c r="AC475" s="59">
        <v>0</v>
      </c>
      <c r="AD475" s="58">
        <v>2</v>
      </c>
      <c r="AE475" s="55">
        <v>0</v>
      </c>
      <c r="AF475" s="59">
        <v>0</v>
      </c>
      <c r="AG475" s="58">
        <v>1</v>
      </c>
      <c r="AH475" s="55">
        <v>0</v>
      </c>
      <c r="AI475" s="59">
        <v>0</v>
      </c>
      <c r="AJ475" s="58">
        <v>0</v>
      </c>
      <c r="AK475" s="55">
        <v>0</v>
      </c>
      <c r="AL475" s="59">
        <v>0</v>
      </c>
    </row>
    <row r="476" spans="2:38" s="47" customFormat="1" ht="12.75">
      <c r="B476" s="6" t="s">
        <v>310</v>
      </c>
      <c r="C476" s="78">
        <v>7</v>
      </c>
      <c r="D476" s="79">
        <v>4</v>
      </c>
      <c r="E476" s="80">
        <v>354</v>
      </c>
      <c r="F476" s="78">
        <v>16</v>
      </c>
      <c r="G476" s="79">
        <v>7</v>
      </c>
      <c r="H476" s="80">
        <v>238</v>
      </c>
      <c r="I476" s="78">
        <v>8</v>
      </c>
      <c r="J476" s="79">
        <v>6</v>
      </c>
      <c r="K476" s="80">
        <v>197</v>
      </c>
      <c r="L476" s="78">
        <v>5</v>
      </c>
      <c r="M476" s="79">
        <v>0</v>
      </c>
      <c r="N476" s="80">
        <v>264</v>
      </c>
      <c r="O476" s="78">
        <v>5</v>
      </c>
      <c r="P476" s="79">
        <v>0</v>
      </c>
      <c r="Q476" s="80">
        <v>241</v>
      </c>
      <c r="R476" s="78">
        <v>2</v>
      </c>
      <c r="S476" s="79">
        <v>0</v>
      </c>
      <c r="T476" s="80">
        <v>278</v>
      </c>
      <c r="U476" s="78">
        <v>5</v>
      </c>
      <c r="V476" s="79">
        <v>0</v>
      </c>
      <c r="W476" s="80">
        <v>237</v>
      </c>
      <c r="X476" s="78">
        <v>7</v>
      </c>
      <c r="Y476" s="79">
        <v>0</v>
      </c>
      <c r="Z476" s="80">
        <v>296</v>
      </c>
      <c r="AA476" s="78">
        <v>2</v>
      </c>
      <c r="AB476" s="79">
        <v>0</v>
      </c>
      <c r="AC476" s="80">
        <v>235</v>
      </c>
      <c r="AD476" s="78">
        <v>7</v>
      </c>
      <c r="AE476" s="79">
        <v>0</v>
      </c>
      <c r="AF476" s="80">
        <v>218</v>
      </c>
      <c r="AG476" s="78">
        <v>9</v>
      </c>
      <c r="AH476" s="79">
        <v>0</v>
      </c>
      <c r="AI476" s="80">
        <v>207</v>
      </c>
      <c r="AJ476" s="78">
        <v>5</v>
      </c>
      <c r="AK476" s="79">
        <v>0</v>
      </c>
      <c r="AL476" s="80">
        <v>176</v>
      </c>
    </row>
    <row r="477" spans="2:38" s="47" customFormat="1" ht="12.75">
      <c r="B477" s="6" t="s">
        <v>311</v>
      </c>
      <c r="C477" s="58">
        <v>11</v>
      </c>
      <c r="D477" s="55">
        <v>4</v>
      </c>
      <c r="E477" s="59">
        <v>227</v>
      </c>
      <c r="F477" s="58">
        <v>7</v>
      </c>
      <c r="G477" s="55">
        <v>5</v>
      </c>
      <c r="H477" s="59">
        <v>291</v>
      </c>
      <c r="I477" s="58">
        <v>5</v>
      </c>
      <c r="J477" s="55">
        <v>3</v>
      </c>
      <c r="K477" s="59">
        <v>262</v>
      </c>
      <c r="L477" s="58">
        <v>3</v>
      </c>
      <c r="M477" s="55">
        <v>0</v>
      </c>
      <c r="N477" s="59">
        <v>206</v>
      </c>
      <c r="O477" s="58">
        <v>9</v>
      </c>
      <c r="P477" s="55">
        <v>0</v>
      </c>
      <c r="Q477" s="59">
        <v>207</v>
      </c>
      <c r="R477" s="58">
        <v>12</v>
      </c>
      <c r="S477" s="55">
        <v>0</v>
      </c>
      <c r="T477" s="59">
        <v>41</v>
      </c>
      <c r="U477" s="58">
        <v>6</v>
      </c>
      <c r="V477" s="55">
        <v>0</v>
      </c>
      <c r="W477" s="59">
        <v>0</v>
      </c>
      <c r="X477" s="58">
        <v>14</v>
      </c>
      <c r="Y477" s="55">
        <v>0</v>
      </c>
      <c r="Z477" s="59">
        <v>0</v>
      </c>
      <c r="AA477" s="58">
        <v>7</v>
      </c>
      <c r="AB477" s="55">
        <v>0</v>
      </c>
      <c r="AC477" s="59">
        <v>0</v>
      </c>
      <c r="AD477" s="58">
        <v>8</v>
      </c>
      <c r="AE477" s="55">
        <v>0</v>
      </c>
      <c r="AF477" s="59">
        <v>0</v>
      </c>
      <c r="AG477" s="58">
        <v>11</v>
      </c>
      <c r="AH477" s="55">
        <v>0</v>
      </c>
      <c r="AI477" s="59">
        <v>0</v>
      </c>
      <c r="AJ477" s="58">
        <v>4</v>
      </c>
      <c r="AK477" s="55">
        <v>0</v>
      </c>
      <c r="AL477" s="59">
        <v>0</v>
      </c>
    </row>
    <row r="478" spans="2:38" s="47" customFormat="1" ht="12.75">
      <c r="B478" s="6" t="s">
        <v>312</v>
      </c>
      <c r="C478" s="58">
        <v>0</v>
      </c>
      <c r="D478" s="55">
        <v>0</v>
      </c>
      <c r="E478" s="59">
        <v>0</v>
      </c>
      <c r="F478" s="58">
        <v>0</v>
      </c>
      <c r="G478" s="55">
        <v>0</v>
      </c>
      <c r="H478" s="59">
        <v>0</v>
      </c>
      <c r="I478" s="58">
        <v>0</v>
      </c>
      <c r="J478" s="55">
        <v>0</v>
      </c>
      <c r="K478" s="59">
        <v>0</v>
      </c>
      <c r="L478" s="58">
        <v>1</v>
      </c>
      <c r="M478" s="55">
        <v>0</v>
      </c>
      <c r="N478" s="59">
        <v>0</v>
      </c>
      <c r="O478" s="58">
        <v>0</v>
      </c>
      <c r="P478" s="55">
        <v>0</v>
      </c>
      <c r="Q478" s="59">
        <v>0</v>
      </c>
      <c r="R478" s="58">
        <v>0</v>
      </c>
      <c r="S478" s="55">
        <v>0</v>
      </c>
      <c r="T478" s="59">
        <v>0</v>
      </c>
      <c r="U478" s="58">
        <v>2</v>
      </c>
      <c r="V478" s="55">
        <v>0</v>
      </c>
      <c r="W478" s="59">
        <v>0</v>
      </c>
      <c r="X478" s="58">
        <v>0</v>
      </c>
      <c r="Y478" s="55">
        <v>0</v>
      </c>
      <c r="Z478" s="59">
        <v>0</v>
      </c>
      <c r="AA478" s="58">
        <v>1</v>
      </c>
      <c r="AB478" s="55">
        <v>0</v>
      </c>
      <c r="AC478" s="59">
        <v>0</v>
      </c>
      <c r="AD478" s="58">
        <v>1</v>
      </c>
      <c r="AE478" s="55">
        <v>0</v>
      </c>
      <c r="AF478" s="59">
        <v>0</v>
      </c>
      <c r="AG478" s="58">
        <v>0</v>
      </c>
      <c r="AH478" s="55">
        <v>0</v>
      </c>
      <c r="AI478" s="59">
        <v>0</v>
      </c>
      <c r="AJ478" s="58">
        <v>0</v>
      </c>
      <c r="AK478" s="55">
        <v>0</v>
      </c>
      <c r="AL478" s="59">
        <v>0</v>
      </c>
    </row>
    <row r="479" spans="2:38" s="47" customFormat="1" ht="12.75">
      <c r="B479" s="6" t="s">
        <v>445</v>
      </c>
      <c r="C479" s="58">
        <v>0</v>
      </c>
      <c r="D479" s="55">
        <v>0</v>
      </c>
      <c r="E479" s="59">
        <v>0</v>
      </c>
      <c r="F479" s="58">
        <v>0</v>
      </c>
      <c r="G479" s="55">
        <v>0</v>
      </c>
      <c r="H479" s="59">
        <v>0</v>
      </c>
      <c r="I479" s="58">
        <v>0</v>
      </c>
      <c r="J479" s="55">
        <v>0</v>
      </c>
      <c r="K479" s="59">
        <v>0</v>
      </c>
      <c r="L479" s="58">
        <v>0</v>
      </c>
      <c r="M479" s="55">
        <v>0</v>
      </c>
      <c r="N479" s="59">
        <v>0</v>
      </c>
      <c r="O479" s="58">
        <v>0</v>
      </c>
      <c r="P479" s="55">
        <v>0</v>
      </c>
      <c r="Q479" s="59">
        <v>0</v>
      </c>
      <c r="R479" s="58">
        <v>0</v>
      </c>
      <c r="S479" s="55">
        <v>0</v>
      </c>
      <c r="T479" s="59">
        <v>0</v>
      </c>
      <c r="U479" s="58">
        <v>0</v>
      </c>
      <c r="V479" s="55">
        <v>0</v>
      </c>
      <c r="W479" s="59">
        <v>0</v>
      </c>
      <c r="X479" s="58">
        <v>0</v>
      </c>
      <c r="Y479" s="55">
        <v>0</v>
      </c>
      <c r="Z479" s="59">
        <v>0</v>
      </c>
      <c r="AA479" s="58">
        <v>0</v>
      </c>
      <c r="AB479" s="55">
        <v>0</v>
      </c>
      <c r="AC479" s="59">
        <v>0</v>
      </c>
      <c r="AD479" s="58">
        <v>0</v>
      </c>
      <c r="AE479" s="55">
        <v>0</v>
      </c>
      <c r="AF479" s="59">
        <v>0</v>
      </c>
      <c r="AG479" s="58">
        <v>0</v>
      </c>
      <c r="AH479" s="55">
        <v>0</v>
      </c>
      <c r="AI479" s="59">
        <v>0</v>
      </c>
      <c r="AJ479" s="58">
        <v>0</v>
      </c>
      <c r="AK479" s="55">
        <v>0</v>
      </c>
      <c r="AL479" s="59">
        <v>0</v>
      </c>
    </row>
    <row r="480" spans="2:38" s="47" customFormat="1" ht="12.75">
      <c r="B480" s="6" t="s">
        <v>313</v>
      </c>
      <c r="C480" s="58">
        <v>7</v>
      </c>
      <c r="D480" s="55">
        <v>0</v>
      </c>
      <c r="E480" s="59">
        <v>87</v>
      </c>
      <c r="F480" s="58">
        <v>7</v>
      </c>
      <c r="G480" s="55">
        <v>3</v>
      </c>
      <c r="H480" s="59">
        <v>70</v>
      </c>
      <c r="I480" s="58">
        <v>1</v>
      </c>
      <c r="J480" s="55">
        <v>0</v>
      </c>
      <c r="K480" s="59">
        <v>72</v>
      </c>
      <c r="L480" s="58">
        <v>2</v>
      </c>
      <c r="M480" s="55">
        <v>0</v>
      </c>
      <c r="N480" s="59">
        <v>91</v>
      </c>
      <c r="O480" s="58">
        <v>5</v>
      </c>
      <c r="P480" s="55">
        <v>0</v>
      </c>
      <c r="Q480" s="59">
        <v>110</v>
      </c>
      <c r="R480" s="58">
        <v>7</v>
      </c>
      <c r="S480" s="55">
        <v>0</v>
      </c>
      <c r="T480" s="59">
        <v>92</v>
      </c>
      <c r="U480" s="58">
        <v>4</v>
      </c>
      <c r="V480" s="55">
        <v>0</v>
      </c>
      <c r="W480" s="59">
        <v>92</v>
      </c>
      <c r="X480" s="58">
        <v>3</v>
      </c>
      <c r="Y480" s="55">
        <v>0</v>
      </c>
      <c r="Z480" s="59">
        <v>84</v>
      </c>
      <c r="AA480" s="58">
        <v>2</v>
      </c>
      <c r="AB480" s="55">
        <v>0</v>
      </c>
      <c r="AC480" s="59">
        <v>78</v>
      </c>
      <c r="AD480" s="58">
        <v>13</v>
      </c>
      <c r="AE480" s="55">
        <v>0</v>
      </c>
      <c r="AF480" s="59">
        <v>74</v>
      </c>
      <c r="AG480" s="58">
        <v>7</v>
      </c>
      <c r="AH480" s="55">
        <v>0</v>
      </c>
      <c r="AI480" s="59">
        <v>79</v>
      </c>
      <c r="AJ480" s="58">
        <v>6</v>
      </c>
      <c r="AK480" s="55">
        <v>0</v>
      </c>
      <c r="AL480" s="59">
        <v>65</v>
      </c>
    </row>
    <row r="481" spans="2:38" s="47" customFormat="1" ht="12.75">
      <c r="B481" s="6" t="s">
        <v>314</v>
      </c>
      <c r="C481" s="58">
        <v>12</v>
      </c>
      <c r="D481" s="55">
        <v>10</v>
      </c>
      <c r="E481" s="59">
        <v>531</v>
      </c>
      <c r="F481" s="58">
        <v>15</v>
      </c>
      <c r="G481" s="55">
        <v>14</v>
      </c>
      <c r="H481" s="59">
        <v>395</v>
      </c>
      <c r="I481" s="58">
        <v>14</v>
      </c>
      <c r="J481" s="55">
        <v>8</v>
      </c>
      <c r="K481" s="59">
        <v>334</v>
      </c>
      <c r="L481" s="58">
        <v>8</v>
      </c>
      <c r="M481" s="55">
        <v>0</v>
      </c>
      <c r="N481" s="59">
        <v>377</v>
      </c>
      <c r="O481" s="58">
        <v>4</v>
      </c>
      <c r="P481" s="55">
        <v>0</v>
      </c>
      <c r="Q481" s="59">
        <v>380</v>
      </c>
      <c r="R481" s="58">
        <v>18</v>
      </c>
      <c r="S481" s="55">
        <v>0</v>
      </c>
      <c r="T481" s="59">
        <v>355</v>
      </c>
      <c r="U481" s="58">
        <v>19</v>
      </c>
      <c r="V481" s="55">
        <v>0</v>
      </c>
      <c r="W481" s="59">
        <v>359</v>
      </c>
      <c r="X481" s="58">
        <v>5</v>
      </c>
      <c r="Y481" s="55">
        <v>0</v>
      </c>
      <c r="Z481" s="59">
        <v>350</v>
      </c>
      <c r="AA481" s="58">
        <v>14</v>
      </c>
      <c r="AB481" s="55">
        <v>0</v>
      </c>
      <c r="AC481" s="59">
        <v>328</v>
      </c>
      <c r="AD481" s="58">
        <v>11</v>
      </c>
      <c r="AE481" s="55">
        <v>0</v>
      </c>
      <c r="AF481" s="59">
        <v>313</v>
      </c>
      <c r="AG481" s="58">
        <v>10</v>
      </c>
      <c r="AH481" s="55">
        <v>0</v>
      </c>
      <c r="AI481" s="59">
        <v>324</v>
      </c>
      <c r="AJ481" s="58">
        <v>10</v>
      </c>
      <c r="AK481" s="55">
        <v>0</v>
      </c>
      <c r="AL481" s="59">
        <v>284</v>
      </c>
    </row>
    <row r="482" spans="2:38" s="47" customFormat="1" ht="12.75">
      <c r="B482" s="6" t="s">
        <v>315</v>
      </c>
      <c r="C482" s="58">
        <v>2</v>
      </c>
      <c r="D482" s="55">
        <v>1</v>
      </c>
      <c r="E482" s="59">
        <v>153</v>
      </c>
      <c r="F482" s="58">
        <v>3</v>
      </c>
      <c r="G482" s="55">
        <v>1</v>
      </c>
      <c r="H482" s="59">
        <v>116</v>
      </c>
      <c r="I482" s="58">
        <v>1</v>
      </c>
      <c r="J482" s="55">
        <v>0</v>
      </c>
      <c r="K482" s="59">
        <v>103</v>
      </c>
      <c r="L482" s="58">
        <v>0</v>
      </c>
      <c r="M482" s="55">
        <v>0</v>
      </c>
      <c r="N482" s="59">
        <v>156</v>
      </c>
      <c r="O482" s="58">
        <v>4</v>
      </c>
      <c r="P482" s="55">
        <v>0</v>
      </c>
      <c r="Q482" s="59">
        <v>172</v>
      </c>
      <c r="R482" s="58">
        <v>3</v>
      </c>
      <c r="S482" s="55">
        <v>0</v>
      </c>
      <c r="T482" s="59">
        <v>169</v>
      </c>
      <c r="U482" s="58">
        <v>1</v>
      </c>
      <c r="V482" s="55">
        <v>0</v>
      </c>
      <c r="W482" s="59">
        <v>143</v>
      </c>
      <c r="X482" s="58">
        <v>2</v>
      </c>
      <c r="Y482" s="55">
        <v>0</v>
      </c>
      <c r="Z482" s="59">
        <v>137</v>
      </c>
      <c r="AA482" s="58">
        <v>3</v>
      </c>
      <c r="AB482" s="55">
        <v>0</v>
      </c>
      <c r="AC482" s="59">
        <v>104</v>
      </c>
      <c r="AD482" s="58">
        <v>1</v>
      </c>
      <c r="AE482" s="55">
        <v>0</v>
      </c>
      <c r="AF482" s="59">
        <v>113</v>
      </c>
      <c r="AG482" s="58">
        <v>1</v>
      </c>
      <c r="AH482" s="55">
        <v>0</v>
      </c>
      <c r="AI482" s="59">
        <v>118</v>
      </c>
      <c r="AJ482" s="58">
        <v>3</v>
      </c>
      <c r="AK482" s="55">
        <v>0</v>
      </c>
      <c r="AL482" s="59">
        <v>107</v>
      </c>
    </row>
    <row r="483" spans="2:38" s="47" customFormat="1" ht="12.75">
      <c r="B483" s="6" t="s">
        <v>316</v>
      </c>
      <c r="C483" s="58">
        <v>0</v>
      </c>
      <c r="D483" s="55">
        <v>0</v>
      </c>
      <c r="E483" s="59">
        <v>3</v>
      </c>
      <c r="F483" s="58">
        <v>1</v>
      </c>
      <c r="G483" s="55">
        <v>0</v>
      </c>
      <c r="H483" s="59">
        <v>6</v>
      </c>
      <c r="I483" s="58">
        <v>1</v>
      </c>
      <c r="J483" s="55">
        <v>1</v>
      </c>
      <c r="K483" s="59">
        <v>8</v>
      </c>
      <c r="L483" s="58">
        <v>2</v>
      </c>
      <c r="M483" s="55">
        <v>0</v>
      </c>
      <c r="N483" s="59">
        <v>6</v>
      </c>
      <c r="O483" s="58">
        <v>0</v>
      </c>
      <c r="P483" s="55">
        <v>0</v>
      </c>
      <c r="Q483" s="59">
        <v>11</v>
      </c>
      <c r="R483" s="58">
        <v>2</v>
      </c>
      <c r="S483" s="55">
        <v>0</v>
      </c>
      <c r="T483" s="59">
        <v>11</v>
      </c>
      <c r="U483" s="58">
        <v>0</v>
      </c>
      <c r="V483" s="55">
        <v>0</v>
      </c>
      <c r="W483" s="59">
        <v>13</v>
      </c>
      <c r="X483" s="58">
        <v>0</v>
      </c>
      <c r="Y483" s="55">
        <v>0</v>
      </c>
      <c r="Z483" s="59">
        <v>16</v>
      </c>
      <c r="AA483" s="58">
        <v>1</v>
      </c>
      <c r="AB483" s="55">
        <v>0</v>
      </c>
      <c r="AC483" s="59">
        <v>4</v>
      </c>
      <c r="AD483" s="58">
        <v>1</v>
      </c>
      <c r="AE483" s="55">
        <v>0</v>
      </c>
      <c r="AF483" s="59">
        <v>6</v>
      </c>
      <c r="AG483" s="58">
        <v>0</v>
      </c>
      <c r="AH483" s="55">
        <v>0</v>
      </c>
      <c r="AI483" s="59">
        <v>5</v>
      </c>
      <c r="AJ483" s="58">
        <v>1</v>
      </c>
      <c r="AK483" s="55">
        <v>0</v>
      </c>
      <c r="AL483" s="59">
        <v>0</v>
      </c>
    </row>
    <row r="484" spans="2:38" s="47" customFormat="1" ht="12.75">
      <c r="B484" s="43" t="s">
        <v>317</v>
      </c>
      <c r="C484" s="58">
        <v>0</v>
      </c>
      <c r="D484" s="55">
        <v>0</v>
      </c>
      <c r="E484" s="59">
        <v>5</v>
      </c>
      <c r="F484" s="58">
        <v>0</v>
      </c>
      <c r="G484" s="55">
        <v>0</v>
      </c>
      <c r="H484" s="59">
        <v>15</v>
      </c>
      <c r="I484" s="58">
        <v>0</v>
      </c>
      <c r="J484" s="55">
        <v>0</v>
      </c>
      <c r="K484" s="59">
        <v>0</v>
      </c>
      <c r="L484" s="58">
        <v>1</v>
      </c>
      <c r="M484" s="55">
        <v>0</v>
      </c>
      <c r="N484" s="59">
        <v>0</v>
      </c>
      <c r="O484" s="58">
        <v>1</v>
      </c>
      <c r="P484" s="55">
        <v>0</v>
      </c>
      <c r="Q484" s="59">
        <v>0</v>
      </c>
      <c r="R484" s="58">
        <v>0</v>
      </c>
      <c r="S484" s="55">
        <v>0</v>
      </c>
      <c r="T484" s="59">
        <v>0</v>
      </c>
      <c r="U484" s="58">
        <v>0</v>
      </c>
      <c r="V484" s="55">
        <v>0</v>
      </c>
      <c r="W484" s="59">
        <v>0</v>
      </c>
      <c r="X484" s="58">
        <v>0</v>
      </c>
      <c r="Y484" s="55">
        <v>0</v>
      </c>
      <c r="Z484" s="59">
        <v>0</v>
      </c>
      <c r="AA484" s="58">
        <v>1</v>
      </c>
      <c r="AB484" s="55">
        <v>0</v>
      </c>
      <c r="AC484" s="59">
        <v>0</v>
      </c>
      <c r="AD484" s="58">
        <v>0</v>
      </c>
      <c r="AE484" s="55">
        <v>0</v>
      </c>
      <c r="AF484" s="59">
        <v>0</v>
      </c>
      <c r="AG484" s="58">
        <v>0</v>
      </c>
      <c r="AH484" s="55">
        <v>0</v>
      </c>
      <c r="AI484" s="59">
        <v>0</v>
      </c>
      <c r="AJ484" s="58">
        <v>0</v>
      </c>
      <c r="AK484" s="55">
        <v>0</v>
      </c>
      <c r="AL484" s="59">
        <v>0</v>
      </c>
    </row>
    <row r="485" spans="2:38" s="47" customFormat="1" ht="12.75">
      <c r="B485" s="43" t="s">
        <v>318</v>
      </c>
      <c r="C485" s="58">
        <v>8</v>
      </c>
      <c r="D485" s="55">
        <v>5</v>
      </c>
      <c r="E485" s="59">
        <v>158</v>
      </c>
      <c r="F485" s="58">
        <v>8</v>
      </c>
      <c r="G485" s="55">
        <v>6</v>
      </c>
      <c r="H485" s="59">
        <v>213</v>
      </c>
      <c r="I485" s="58">
        <v>8</v>
      </c>
      <c r="J485" s="55">
        <v>5</v>
      </c>
      <c r="K485" s="59">
        <v>144</v>
      </c>
      <c r="L485" s="58">
        <v>4</v>
      </c>
      <c r="M485" s="55">
        <v>0</v>
      </c>
      <c r="N485" s="59">
        <v>0</v>
      </c>
      <c r="O485" s="58">
        <v>4</v>
      </c>
      <c r="P485" s="55">
        <v>0</v>
      </c>
      <c r="Q485" s="59">
        <v>0</v>
      </c>
      <c r="R485" s="58">
        <v>9</v>
      </c>
      <c r="S485" s="55">
        <v>0</v>
      </c>
      <c r="T485" s="59">
        <v>0</v>
      </c>
      <c r="U485" s="58">
        <v>10</v>
      </c>
      <c r="V485" s="55">
        <v>0</v>
      </c>
      <c r="W485" s="59">
        <v>0</v>
      </c>
      <c r="X485" s="58">
        <v>19</v>
      </c>
      <c r="Y485" s="55">
        <v>0</v>
      </c>
      <c r="Z485" s="59">
        <v>0</v>
      </c>
      <c r="AA485" s="58">
        <v>13</v>
      </c>
      <c r="AB485" s="55">
        <v>0</v>
      </c>
      <c r="AC485" s="59">
        <v>0</v>
      </c>
      <c r="AD485" s="58">
        <v>4</v>
      </c>
      <c r="AE485" s="55">
        <v>0</v>
      </c>
      <c r="AF485" s="59">
        <v>0</v>
      </c>
      <c r="AG485" s="58">
        <v>15</v>
      </c>
      <c r="AH485" s="55">
        <v>0</v>
      </c>
      <c r="AI485" s="59">
        <v>0</v>
      </c>
      <c r="AJ485" s="58">
        <v>3</v>
      </c>
      <c r="AK485" s="55">
        <v>0</v>
      </c>
      <c r="AL485" s="59">
        <v>0</v>
      </c>
    </row>
    <row r="486" spans="2:38" s="47" customFormat="1" ht="13.5" thickBot="1">
      <c r="B486" s="7" t="s">
        <v>319</v>
      </c>
      <c r="C486" s="81">
        <v>0</v>
      </c>
      <c r="D486" s="70">
        <v>0</v>
      </c>
      <c r="E486" s="82">
        <v>0</v>
      </c>
      <c r="F486" s="81">
        <v>0</v>
      </c>
      <c r="G486" s="70">
        <v>0</v>
      </c>
      <c r="H486" s="82">
        <v>0</v>
      </c>
      <c r="I486" s="81">
        <v>0</v>
      </c>
      <c r="J486" s="70">
        <v>0</v>
      </c>
      <c r="K486" s="82">
        <v>0</v>
      </c>
      <c r="L486" s="81">
        <v>1</v>
      </c>
      <c r="M486" s="70">
        <v>0</v>
      </c>
      <c r="N486" s="82">
        <v>0</v>
      </c>
      <c r="O486" s="81">
        <v>7</v>
      </c>
      <c r="P486" s="70">
        <v>0</v>
      </c>
      <c r="Q486" s="82">
        <v>0</v>
      </c>
      <c r="R486" s="81">
        <v>4</v>
      </c>
      <c r="S486" s="70">
        <v>0</v>
      </c>
      <c r="T486" s="82">
        <v>0</v>
      </c>
      <c r="U486" s="81">
        <v>9</v>
      </c>
      <c r="V486" s="70">
        <v>0</v>
      </c>
      <c r="W486" s="82">
        <v>0</v>
      </c>
      <c r="X486" s="81">
        <v>2</v>
      </c>
      <c r="Y486" s="70">
        <v>0</v>
      </c>
      <c r="Z486" s="82">
        <v>0</v>
      </c>
      <c r="AA486" s="81">
        <v>4</v>
      </c>
      <c r="AB486" s="70">
        <v>0</v>
      </c>
      <c r="AC486" s="82">
        <v>0</v>
      </c>
      <c r="AD486" s="81">
        <v>2</v>
      </c>
      <c r="AE486" s="70">
        <v>0</v>
      </c>
      <c r="AF486" s="82">
        <v>0</v>
      </c>
      <c r="AG486" s="81">
        <v>7</v>
      </c>
      <c r="AH486" s="70">
        <v>0</v>
      </c>
      <c r="AI486" s="82">
        <v>0</v>
      </c>
      <c r="AJ486" s="81">
        <v>3</v>
      </c>
      <c r="AK486" s="70">
        <v>0</v>
      </c>
      <c r="AL486" s="82">
        <v>0</v>
      </c>
    </row>
    <row r="487" spans="2:38" s="47" customFormat="1" ht="13.5" thickBot="1">
      <c r="B487" s="83" t="s">
        <v>0</v>
      </c>
      <c r="C487" s="44">
        <f aca="true" t="shared" si="37" ref="C487:AL487">SUM(C453:C486)</f>
        <v>174</v>
      </c>
      <c r="D487" s="51">
        <f t="shared" si="37"/>
        <v>89</v>
      </c>
      <c r="E487" s="52">
        <f t="shared" si="37"/>
        <v>5234</v>
      </c>
      <c r="F487" s="109">
        <f t="shared" si="37"/>
        <v>143</v>
      </c>
      <c r="G487" s="51">
        <f t="shared" si="37"/>
        <v>83</v>
      </c>
      <c r="H487" s="93">
        <f t="shared" si="37"/>
        <v>4237</v>
      </c>
      <c r="I487" s="245">
        <f t="shared" si="37"/>
        <v>125</v>
      </c>
      <c r="J487" s="51">
        <f t="shared" si="37"/>
        <v>47</v>
      </c>
      <c r="K487" s="93">
        <f t="shared" si="37"/>
        <v>3250</v>
      </c>
      <c r="L487" s="245">
        <f t="shared" si="37"/>
        <v>129</v>
      </c>
      <c r="M487" s="51">
        <f t="shared" si="37"/>
        <v>0</v>
      </c>
      <c r="N487" s="93">
        <f t="shared" si="37"/>
        <v>2774</v>
      </c>
      <c r="O487" s="245">
        <f t="shared" si="37"/>
        <v>170</v>
      </c>
      <c r="P487" s="51">
        <f t="shared" si="37"/>
        <v>0</v>
      </c>
      <c r="Q487" s="93">
        <f t="shared" si="37"/>
        <v>2408</v>
      </c>
      <c r="R487" s="245">
        <f t="shared" si="37"/>
        <v>185</v>
      </c>
      <c r="S487" s="51">
        <f t="shared" si="37"/>
        <v>0</v>
      </c>
      <c r="T487" s="93">
        <f t="shared" si="37"/>
        <v>1942</v>
      </c>
      <c r="U487" s="245">
        <f t="shared" si="37"/>
        <v>179</v>
      </c>
      <c r="V487" s="51">
        <f t="shared" si="37"/>
        <v>0</v>
      </c>
      <c r="W487" s="93">
        <f t="shared" si="37"/>
        <v>1877</v>
      </c>
      <c r="X487" s="245">
        <f t="shared" si="37"/>
        <v>198</v>
      </c>
      <c r="Y487" s="51">
        <f t="shared" si="37"/>
        <v>0</v>
      </c>
      <c r="Z487" s="93">
        <f t="shared" si="37"/>
        <v>1946</v>
      </c>
      <c r="AA487" s="245">
        <f t="shared" si="37"/>
        <v>149</v>
      </c>
      <c r="AB487" s="51">
        <f t="shared" si="37"/>
        <v>0</v>
      </c>
      <c r="AC487" s="93">
        <f t="shared" si="37"/>
        <v>1617</v>
      </c>
      <c r="AD487" s="245">
        <f t="shared" si="37"/>
        <v>166</v>
      </c>
      <c r="AE487" s="51">
        <f t="shared" si="37"/>
        <v>0</v>
      </c>
      <c r="AF487" s="93">
        <f t="shared" si="37"/>
        <v>1643</v>
      </c>
      <c r="AG487" s="245">
        <f t="shared" si="37"/>
        <v>193</v>
      </c>
      <c r="AH487" s="51">
        <f t="shared" si="37"/>
        <v>0</v>
      </c>
      <c r="AI487" s="93">
        <f t="shared" si="37"/>
        <v>1869</v>
      </c>
      <c r="AJ487" s="245">
        <f t="shared" si="37"/>
        <v>134</v>
      </c>
      <c r="AK487" s="51">
        <f t="shared" si="37"/>
        <v>0</v>
      </c>
      <c r="AL487" s="93">
        <f t="shared" si="37"/>
        <v>1513</v>
      </c>
    </row>
    <row r="488" s="47" customFormat="1" ht="12.75"/>
    <row r="489" spans="2:5" s="47" customFormat="1" ht="12.75">
      <c r="B489" s="383" t="s">
        <v>413</v>
      </c>
      <c r="C489" s="383"/>
      <c r="D489" s="383"/>
      <c r="E489" s="383"/>
    </row>
    <row r="490" spans="2:5" s="47" customFormat="1" ht="12.75">
      <c r="B490" s="383" t="s">
        <v>414</v>
      </c>
      <c r="C490" s="383"/>
      <c r="D490" s="383"/>
      <c r="E490" s="383"/>
    </row>
    <row r="491" s="47" customFormat="1" ht="12.75">
      <c r="E491" s="110"/>
    </row>
    <row r="492" spans="2:5" s="47" customFormat="1" ht="12.75">
      <c r="B492" s="383" t="s">
        <v>22</v>
      </c>
      <c r="C492" s="383"/>
      <c r="D492" s="383"/>
      <c r="E492" s="383"/>
    </row>
    <row r="493" spans="2:5" s="47" customFormat="1" ht="12.75">
      <c r="B493" s="60"/>
      <c r="C493" s="60"/>
      <c r="D493" s="60"/>
      <c r="E493" s="60"/>
    </row>
    <row r="494" spans="2:5" s="47" customFormat="1" ht="12.75">
      <c r="B494" s="383" t="s">
        <v>41</v>
      </c>
      <c r="C494" s="383"/>
      <c r="D494" s="383"/>
      <c r="E494" s="383"/>
    </row>
    <row r="495" spans="2:5" s="47" customFormat="1" ht="12.75">
      <c r="B495" s="60"/>
      <c r="C495" s="60"/>
      <c r="D495" s="60"/>
      <c r="E495" s="60"/>
    </row>
    <row r="496" spans="2:5" s="47" customFormat="1" ht="12.75">
      <c r="B496" s="383" t="s">
        <v>86</v>
      </c>
      <c r="C496" s="383"/>
      <c r="D496" s="383"/>
      <c r="E496" s="383"/>
    </row>
    <row r="497" spans="2:5" s="47" customFormat="1" ht="12.75">
      <c r="B497" s="60"/>
      <c r="C497" s="60"/>
      <c r="D497" s="60"/>
      <c r="E497" s="60"/>
    </row>
    <row r="498" spans="2:5" s="47" customFormat="1" ht="12.75">
      <c r="B498" s="383">
        <v>2016</v>
      </c>
      <c r="C498" s="383"/>
      <c r="D498" s="383"/>
      <c r="E498" s="383"/>
    </row>
    <row r="499" spans="2:5" s="47" customFormat="1" ht="13.5" thickBot="1">
      <c r="B499" s="4"/>
      <c r="C499" s="4"/>
      <c r="D499" s="4"/>
      <c r="E499" s="4"/>
    </row>
    <row r="500" spans="2:38" s="47" customFormat="1" ht="13.5" customHeight="1" thickBot="1">
      <c r="B500" s="377" t="s">
        <v>394</v>
      </c>
      <c r="C500" s="374" t="s">
        <v>7</v>
      </c>
      <c r="D500" s="375"/>
      <c r="E500" s="376"/>
      <c r="F500" s="374" t="s">
        <v>433</v>
      </c>
      <c r="G500" s="375"/>
      <c r="H500" s="376"/>
      <c r="I500" s="374" t="s">
        <v>434</v>
      </c>
      <c r="J500" s="375"/>
      <c r="K500" s="376"/>
      <c r="L500" s="374" t="s">
        <v>435</v>
      </c>
      <c r="M500" s="375"/>
      <c r="N500" s="376"/>
      <c r="O500" s="374" t="s">
        <v>436</v>
      </c>
      <c r="P500" s="375"/>
      <c r="Q500" s="376"/>
      <c r="R500" s="374" t="s">
        <v>437</v>
      </c>
      <c r="S500" s="375"/>
      <c r="T500" s="376"/>
      <c r="U500" s="374" t="s">
        <v>438</v>
      </c>
      <c r="V500" s="375"/>
      <c r="W500" s="376"/>
      <c r="X500" s="374" t="s">
        <v>439</v>
      </c>
      <c r="Y500" s="375"/>
      <c r="Z500" s="376"/>
      <c r="AA500" s="374" t="s">
        <v>440</v>
      </c>
      <c r="AB500" s="375"/>
      <c r="AC500" s="376"/>
      <c r="AD500" s="374" t="s">
        <v>441</v>
      </c>
      <c r="AE500" s="375"/>
      <c r="AF500" s="376"/>
      <c r="AG500" s="374" t="s">
        <v>442</v>
      </c>
      <c r="AH500" s="375"/>
      <c r="AI500" s="376"/>
      <c r="AJ500" s="374" t="s">
        <v>443</v>
      </c>
      <c r="AK500" s="375"/>
      <c r="AL500" s="376"/>
    </row>
    <row r="501" spans="2:38" s="47" customFormat="1" ht="12.75" customHeight="1">
      <c r="B501" s="378"/>
      <c r="C501" s="367" t="s">
        <v>66</v>
      </c>
      <c r="D501" s="381" t="s">
        <v>67</v>
      </c>
      <c r="E501" s="371"/>
      <c r="F501" s="367" t="s">
        <v>66</v>
      </c>
      <c r="G501" s="381" t="s">
        <v>67</v>
      </c>
      <c r="H501" s="371"/>
      <c r="I501" s="367" t="s">
        <v>66</v>
      </c>
      <c r="J501" s="381" t="s">
        <v>67</v>
      </c>
      <c r="K501" s="371"/>
      <c r="L501" s="367" t="s">
        <v>66</v>
      </c>
      <c r="M501" s="381" t="s">
        <v>67</v>
      </c>
      <c r="N501" s="371"/>
      <c r="O501" s="367" t="s">
        <v>66</v>
      </c>
      <c r="P501" s="381" t="s">
        <v>67</v>
      </c>
      <c r="Q501" s="371"/>
      <c r="R501" s="367" t="s">
        <v>66</v>
      </c>
      <c r="S501" s="381" t="s">
        <v>67</v>
      </c>
      <c r="T501" s="371"/>
      <c r="U501" s="367" t="s">
        <v>66</v>
      </c>
      <c r="V501" s="381" t="s">
        <v>67</v>
      </c>
      <c r="W501" s="371"/>
      <c r="X501" s="367" t="s">
        <v>66</v>
      </c>
      <c r="Y501" s="381" t="s">
        <v>67</v>
      </c>
      <c r="Z501" s="371"/>
      <c r="AA501" s="367" t="s">
        <v>66</v>
      </c>
      <c r="AB501" s="381" t="s">
        <v>67</v>
      </c>
      <c r="AC501" s="371"/>
      <c r="AD501" s="367" t="s">
        <v>66</v>
      </c>
      <c r="AE501" s="381" t="s">
        <v>67</v>
      </c>
      <c r="AF501" s="371"/>
      <c r="AG501" s="367" t="s">
        <v>66</v>
      </c>
      <c r="AH501" s="381" t="s">
        <v>67</v>
      </c>
      <c r="AI501" s="371"/>
      <c r="AJ501" s="367" t="s">
        <v>66</v>
      </c>
      <c r="AK501" s="381" t="s">
        <v>67</v>
      </c>
      <c r="AL501" s="371"/>
    </row>
    <row r="502" spans="2:38" s="47" customFormat="1" ht="13.5" thickBot="1">
      <c r="B502" s="379"/>
      <c r="C502" s="368"/>
      <c r="D502" s="382"/>
      <c r="E502" s="373"/>
      <c r="F502" s="368"/>
      <c r="G502" s="382"/>
      <c r="H502" s="373"/>
      <c r="I502" s="368"/>
      <c r="J502" s="382"/>
      <c r="K502" s="373"/>
      <c r="L502" s="368"/>
      <c r="M502" s="382"/>
      <c r="N502" s="373"/>
      <c r="O502" s="368"/>
      <c r="P502" s="382"/>
      <c r="Q502" s="373"/>
      <c r="R502" s="368"/>
      <c r="S502" s="382"/>
      <c r="T502" s="373"/>
      <c r="U502" s="368"/>
      <c r="V502" s="382"/>
      <c r="W502" s="373"/>
      <c r="X502" s="368"/>
      <c r="Y502" s="382"/>
      <c r="Z502" s="373"/>
      <c r="AA502" s="368"/>
      <c r="AB502" s="382"/>
      <c r="AC502" s="373"/>
      <c r="AD502" s="368"/>
      <c r="AE502" s="382"/>
      <c r="AF502" s="373"/>
      <c r="AG502" s="368"/>
      <c r="AH502" s="382"/>
      <c r="AI502" s="373"/>
      <c r="AJ502" s="368"/>
      <c r="AK502" s="382"/>
      <c r="AL502" s="373"/>
    </row>
    <row r="503" spans="2:38" s="47" customFormat="1" ht="26.25" thickBot="1">
      <c r="B503" s="380"/>
      <c r="C503" s="111" t="s">
        <v>68</v>
      </c>
      <c r="D503" s="97" t="s">
        <v>69</v>
      </c>
      <c r="E503" s="98" t="s">
        <v>70</v>
      </c>
      <c r="F503" s="111" t="s">
        <v>68</v>
      </c>
      <c r="G503" s="97" t="s">
        <v>69</v>
      </c>
      <c r="H503" s="98" t="s">
        <v>70</v>
      </c>
      <c r="I503" s="111" t="s">
        <v>68</v>
      </c>
      <c r="J503" s="97" t="s">
        <v>69</v>
      </c>
      <c r="K503" s="98" t="s">
        <v>70</v>
      </c>
      <c r="L503" s="111" t="s">
        <v>68</v>
      </c>
      <c r="M503" s="97" t="s">
        <v>69</v>
      </c>
      <c r="N503" s="98" t="s">
        <v>70</v>
      </c>
      <c r="O503" s="111" t="s">
        <v>68</v>
      </c>
      <c r="P503" s="97" t="s">
        <v>69</v>
      </c>
      <c r="Q503" s="98" t="s">
        <v>70</v>
      </c>
      <c r="R503" s="111" t="s">
        <v>68</v>
      </c>
      <c r="S503" s="97" t="s">
        <v>69</v>
      </c>
      <c r="T503" s="98" t="s">
        <v>70</v>
      </c>
      <c r="U503" s="111" t="s">
        <v>68</v>
      </c>
      <c r="V503" s="97" t="s">
        <v>69</v>
      </c>
      <c r="W503" s="98" t="s">
        <v>70</v>
      </c>
      <c r="X503" s="111" t="s">
        <v>68</v>
      </c>
      <c r="Y503" s="97" t="s">
        <v>69</v>
      </c>
      <c r="Z503" s="98" t="s">
        <v>70</v>
      </c>
      <c r="AA503" s="111" t="s">
        <v>68</v>
      </c>
      <c r="AB503" s="97" t="s">
        <v>69</v>
      </c>
      <c r="AC503" s="98" t="s">
        <v>70</v>
      </c>
      <c r="AD503" s="111" t="s">
        <v>68</v>
      </c>
      <c r="AE503" s="97" t="s">
        <v>69</v>
      </c>
      <c r="AF503" s="98" t="s">
        <v>70</v>
      </c>
      <c r="AG503" s="111" t="s">
        <v>68</v>
      </c>
      <c r="AH503" s="97" t="s">
        <v>69</v>
      </c>
      <c r="AI503" s="98" t="s">
        <v>70</v>
      </c>
      <c r="AJ503" s="111" t="s">
        <v>68</v>
      </c>
      <c r="AK503" s="97" t="s">
        <v>69</v>
      </c>
      <c r="AL503" s="98" t="s">
        <v>70</v>
      </c>
    </row>
    <row r="504" spans="2:38" s="47" customFormat="1" ht="12.75">
      <c r="B504" s="5" t="s">
        <v>320</v>
      </c>
      <c r="C504" s="76">
        <v>0</v>
      </c>
      <c r="D504" s="65">
        <v>0</v>
      </c>
      <c r="E504" s="77">
        <v>11</v>
      </c>
      <c r="F504" s="76">
        <v>0</v>
      </c>
      <c r="G504" s="65">
        <v>0</v>
      </c>
      <c r="H504" s="77">
        <v>8</v>
      </c>
      <c r="I504" s="76">
        <v>0</v>
      </c>
      <c r="J504" s="65">
        <v>0</v>
      </c>
      <c r="K504" s="77">
        <v>8</v>
      </c>
      <c r="L504" s="177">
        <v>1</v>
      </c>
      <c r="M504" s="104">
        <v>0</v>
      </c>
      <c r="N504" s="105">
        <v>2</v>
      </c>
      <c r="O504" s="76">
        <v>0</v>
      </c>
      <c r="P504" s="65">
        <v>0</v>
      </c>
      <c r="Q504" s="77">
        <v>0</v>
      </c>
      <c r="R504" s="76">
        <v>0</v>
      </c>
      <c r="S504" s="65">
        <v>0</v>
      </c>
      <c r="T504" s="77">
        <v>0</v>
      </c>
      <c r="U504" s="76">
        <v>1</v>
      </c>
      <c r="V504" s="65"/>
      <c r="W504" s="77">
        <v>0</v>
      </c>
      <c r="X504" s="76">
        <v>0</v>
      </c>
      <c r="Y504" s="65">
        <v>0</v>
      </c>
      <c r="Z504" s="77">
        <v>0</v>
      </c>
      <c r="AA504" s="76">
        <v>0</v>
      </c>
      <c r="AB504" s="65">
        <v>0</v>
      </c>
      <c r="AC504" s="77">
        <v>0</v>
      </c>
      <c r="AD504" s="76">
        <v>1</v>
      </c>
      <c r="AE504" s="65">
        <v>0</v>
      </c>
      <c r="AF504" s="77">
        <v>0</v>
      </c>
      <c r="AG504" s="76">
        <v>1</v>
      </c>
      <c r="AH504" s="65">
        <v>0</v>
      </c>
      <c r="AI504" s="77">
        <v>0</v>
      </c>
      <c r="AJ504" s="76">
        <v>0</v>
      </c>
      <c r="AK504" s="65">
        <v>0</v>
      </c>
      <c r="AL504" s="77">
        <v>0</v>
      </c>
    </row>
    <row r="505" spans="2:38" s="47" customFormat="1" ht="12.75">
      <c r="B505" s="6" t="s">
        <v>321</v>
      </c>
      <c r="C505" s="58">
        <v>0</v>
      </c>
      <c r="D505" s="55">
        <v>0</v>
      </c>
      <c r="E505" s="59">
        <v>1</v>
      </c>
      <c r="F505" s="58">
        <v>0</v>
      </c>
      <c r="G505" s="55">
        <v>0</v>
      </c>
      <c r="H505" s="59">
        <v>2</v>
      </c>
      <c r="I505" s="58">
        <v>0</v>
      </c>
      <c r="J505" s="55">
        <v>0</v>
      </c>
      <c r="K505" s="59">
        <v>4</v>
      </c>
      <c r="L505" s="178">
        <v>1</v>
      </c>
      <c r="M505" s="107">
        <v>0</v>
      </c>
      <c r="N505" s="108">
        <v>0</v>
      </c>
      <c r="O505" s="58">
        <v>1</v>
      </c>
      <c r="P505" s="55">
        <v>0</v>
      </c>
      <c r="Q505" s="59">
        <v>0</v>
      </c>
      <c r="R505" s="58">
        <v>0</v>
      </c>
      <c r="S505" s="55">
        <v>0</v>
      </c>
      <c r="T505" s="59">
        <v>0</v>
      </c>
      <c r="U505" s="58">
        <v>0</v>
      </c>
      <c r="V505" s="55">
        <v>0</v>
      </c>
      <c r="W505" s="59">
        <v>0</v>
      </c>
      <c r="X505" s="58">
        <v>1</v>
      </c>
      <c r="Y505" s="55">
        <v>0</v>
      </c>
      <c r="Z505" s="59">
        <v>0</v>
      </c>
      <c r="AA505" s="58">
        <v>0</v>
      </c>
      <c r="AB505" s="55">
        <v>0</v>
      </c>
      <c r="AC505" s="59">
        <v>0</v>
      </c>
      <c r="AD505" s="58">
        <v>0</v>
      </c>
      <c r="AE505" s="55">
        <v>0</v>
      </c>
      <c r="AF505" s="59">
        <v>0</v>
      </c>
      <c r="AG505" s="58">
        <v>0</v>
      </c>
      <c r="AH505" s="55">
        <v>0</v>
      </c>
      <c r="AI505" s="59">
        <v>0</v>
      </c>
      <c r="AJ505" s="58">
        <v>0</v>
      </c>
      <c r="AK505" s="55">
        <v>0</v>
      </c>
      <c r="AL505" s="59">
        <v>0</v>
      </c>
    </row>
    <row r="506" spans="2:38" s="47" customFormat="1" ht="12.75">
      <c r="B506" s="6" t="s">
        <v>322</v>
      </c>
      <c r="C506" s="58">
        <v>0</v>
      </c>
      <c r="D506" s="55">
        <v>0</v>
      </c>
      <c r="E506" s="59">
        <v>6</v>
      </c>
      <c r="F506" s="58">
        <v>0</v>
      </c>
      <c r="G506" s="55">
        <v>0</v>
      </c>
      <c r="H506" s="59">
        <v>9</v>
      </c>
      <c r="I506" s="58">
        <v>0</v>
      </c>
      <c r="J506" s="55">
        <v>0</v>
      </c>
      <c r="K506" s="59">
        <v>4</v>
      </c>
      <c r="L506" s="178">
        <v>0</v>
      </c>
      <c r="M506" s="107">
        <v>0</v>
      </c>
      <c r="N506" s="108">
        <v>2</v>
      </c>
      <c r="O506" s="58">
        <v>3</v>
      </c>
      <c r="P506" s="55">
        <v>0</v>
      </c>
      <c r="Q506" s="59">
        <v>0</v>
      </c>
      <c r="R506" s="58">
        <v>1</v>
      </c>
      <c r="S506" s="55">
        <v>0</v>
      </c>
      <c r="T506" s="59">
        <v>4</v>
      </c>
      <c r="U506" s="58">
        <v>0</v>
      </c>
      <c r="V506" s="55">
        <v>0</v>
      </c>
      <c r="W506" s="59">
        <v>1</v>
      </c>
      <c r="X506" s="58">
        <v>1</v>
      </c>
      <c r="Y506" s="55">
        <v>0</v>
      </c>
      <c r="Z506" s="59">
        <v>0</v>
      </c>
      <c r="AA506" s="58">
        <v>0</v>
      </c>
      <c r="AB506" s="55">
        <v>0</v>
      </c>
      <c r="AC506" s="59">
        <v>2</v>
      </c>
      <c r="AD506" s="58">
        <v>0</v>
      </c>
      <c r="AE506" s="55">
        <v>0</v>
      </c>
      <c r="AF506" s="59">
        <v>2</v>
      </c>
      <c r="AG506" s="58">
        <v>2</v>
      </c>
      <c r="AH506" s="55">
        <v>0</v>
      </c>
      <c r="AI506" s="59">
        <v>1</v>
      </c>
      <c r="AJ506" s="58">
        <v>0</v>
      </c>
      <c r="AK506" s="55">
        <v>0</v>
      </c>
      <c r="AL506" s="59">
        <v>1</v>
      </c>
    </row>
    <row r="507" spans="2:38" s="47" customFormat="1" ht="12.75">
      <c r="B507" s="6" t="s">
        <v>323</v>
      </c>
      <c r="C507" s="58">
        <v>0</v>
      </c>
      <c r="D507" s="55">
        <v>0</v>
      </c>
      <c r="E507" s="59">
        <v>4</v>
      </c>
      <c r="F507" s="58">
        <v>0</v>
      </c>
      <c r="G507" s="55">
        <v>0</v>
      </c>
      <c r="H507" s="59">
        <v>1</v>
      </c>
      <c r="I507" s="58">
        <v>0</v>
      </c>
      <c r="J507" s="55">
        <v>0</v>
      </c>
      <c r="K507" s="59">
        <v>3</v>
      </c>
      <c r="L507" s="178">
        <v>0</v>
      </c>
      <c r="M507" s="107">
        <v>0</v>
      </c>
      <c r="N507" s="108">
        <v>5</v>
      </c>
      <c r="O507" s="58">
        <v>2</v>
      </c>
      <c r="P507" s="55">
        <v>0</v>
      </c>
      <c r="Q507" s="59">
        <v>1</v>
      </c>
      <c r="R507" s="58">
        <v>0</v>
      </c>
      <c r="S507" s="55">
        <v>0</v>
      </c>
      <c r="T507" s="59">
        <v>7</v>
      </c>
      <c r="U507" s="58">
        <v>0</v>
      </c>
      <c r="V507" s="55">
        <v>0</v>
      </c>
      <c r="W507" s="59">
        <v>18</v>
      </c>
      <c r="X507" s="58">
        <v>0</v>
      </c>
      <c r="Y507" s="55">
        <v>0</v>
      </c>
      <c r="Z507" s="59">
        <v>1</v>
      </c>
      <c r="AA507" s="58">
        <v>0</v>
      </c>
      <c r="AB507" s="55">
        <v>0</v>
      </c>
      <c r="AC507" s="59">
        <v>3</v>
      </c>
      <c r="AD507" s="58">
        <v>0</v>
      </c>
      <c r="AE507" s="55">
        <v>0</v>
      </c>
      <c r="AF507" s="59">
        <v>1</v>
      </c>
      <c r="AG507" s="58">
        <v>0</v>
      </c>
      <c r="AH507" s="55">
        <v>0</v>
      </c>
      <c r="AI507" s="59">
        <v>2</v>
      </c>
      <c r="AJ507" s="58">
        <v>0</v>
      </c>
      <c r="AK507" s="55">
        <v>0</v>
      </c>
      <c r="AL507" s="59">
        <v>0</v>
      </c>
    </row>
    <row r="508" spans="2:38" s="47" customFormat="1" ht="12.75">
      <c r="B508" s="6" t="s">
        <v>324</v>
      </c>
      <c r="C508" s="58">
        <v>1</v>
      </c>
      <c r="D508" s="55">
        <v>0</v>
      </c>
      <c r="E508" s="59">
        <v>6</v>
      </c>
      <c r="F508" s="58">
        <v>0</v>
      </c>
      <c r="G508" s="55">
        <v>0</v>
      </c>
      <c r="H508" s="59">
        <v>1</v>
      </c>
      <c r="I508" s="58">
        <v>1</v>
      </c>
      <c r="J508" s="55">
        <v>0</v>
      </c>
      <c r="K508" s="59">
        <v>3</v>
      </c>
      <c r="L508" s="178">
        <v>1</v>
      </c>
      <c r="M508" s="107">
        <v>0</v>
      </c>
      <c r="N508" s="108">
        <v>0</v>
      </c>
      <c r="O508" s="58">
        <v>0</v>
      </c>
      <c r="P508" s="55">
        <v>0</v>
      </c>
      <c r="Q508" s="59">
        <v>0</v>
      </c>
      <c r="R508" s="58">
        <v>2</v>
      </c>
      <c r="S508" s="55">
        <v>0</v>
      </c>
      <c r="T508" s="59">
        <v>0</v>
      </c>
      <c r="U508" s="58">
        <v>0</v>
      </c>
      <c r="V508" s="55">
        <v>0</v>
      </c>
      <c r="W508" s="59">
        <v>0</v>
      </c>
      <c r="X508" s="58">
        <v>1</v>
      </c>
      <c r="Y508" s="55">
        <v>0</v>
      </c>
      <c r="Z508" s="59">
        <v>0</v>
      </c>
      <c r="AA508" s="58">
        <v>1</v>
      </c>
      <c r="AB508" s="55">
        <v>0</v>
      </c>
      <c r="AC508" s="59">
        <v>0</v>
      </c>
      <c r="AD508" s="58">
        <v>1</v>
      </c>
      <c r="AE508" s="55">
        <v>0</v>
      </c>
      <c r="AF508" s="59">
        <v>0</v>
      </c>
      <c r="AG508" s="58">
        <v>2</v>
      </c>
      <c r="AH508" s="55">
        <v>0</v>
      </c>
      <c r="AI508" s="59">
        <v>0</v>
      </c>
      <c r="AJ508" s="58">
        <v>0</v>
      </c>
      <c r="AK508" s="55">
        <v>0</v>
      </c>
      <c r="AL508" s="59">
        <v>0</v>
      </c>
    </row>
    <row r="509" spans="2:38" s="47" customFormat="1" ht="12.75">
      <c r="B509" s="6" t="s">
        <v>325</v>
      </c>
      <c r="C509" s="58">
        <v>0</v>
      </c>
      <c r="D509" s="55">
        <v>0</v>
      </c>
      <c r="E509" s="59">
        <v>0</v>
      </c>
      <c r="F509" s="58">
        <v>0</v>
      </c>
      <c r="G509" s="55">
        <v>0</v>
      </c>
      <c r="H509" s="59">
        <v>0</v>
      </c>
      <c r="I509" s="58">
        <v>0</v>
      </c>
      <c r="J509" s="55">
        <v>0</v>
      </c>
      <c r="K509" s="59">
        <v>0</v>
      </c>
      <c r="L509" s="178">
        <v>0</v>
      </c>
      <c r="M509" s="107">
        <v>0</v>
      </c>
      <c r="N509" s="108">
        <v>0</v>
      </c>
      <c r="O509" s="58">
        <v>0</v>
      </c>
      <c r="P509" s="55">
        <v>0</v>
      </c>
      <c r="Q509" s="59">
        <v>0</v>
      </c>
      <c r="R509" s="58">
        <v>0</v>
      </c>
      <c r="S509" s="55">
        <v>0</v>
      </c>
      <c r="T509" s="59">
        <v>0</v>
      </c>
      <c r="U509" s="58">
        <v>0</v>
      </c>
      <c r="V509" s="55">
        <v>0</v>
      </c>
      <c r="W509" s="59">
        <v>0</v>
      </c>
      <c r="X509" s="58">
        <v>0</v>
      </c>
      <c r="Y509" s="55">
        <v>0</v>
      </c>
      <c r="Z509" s="59">
        <v>0</v>
      </c>
      <c r="AA509" s="58">
        <v>0</v>
      </c>
      <c r="AB509" s="55">
        <v>0</v>
      </c>
      <c r="AC509" s="59">
        <v>0</v>
      </c>
      <c r="AD509" s="58">
        <v>0</v>
      </c>
      <c r="AE509" s="55">
        <v>0</v>
      </c>
      <c r="AF509" s="59">
        <v>2</v>
      </c>
      <c r="AG509" s="58">
        <v>0</v>
      </c>
      <c r="AH509" s="55">
        <v>0</v>
      </c>
      <c r="AI509" s="59">
        <v>0</v>
      </c>
      <c r="AJ509" s="58">
        <v>1</v>
      </c>
      <c r="AK509" s="55">
        <v>0</v>
      </c>
      <c r="AL509" s="59">
        <v>0</v>
      </c>
    </row>
    <row r="510" spans="2:38" s="47" customFormat="1" ht="12.75">
      <c r="B510" s="6" t="s">
        <v>326</v>
      </c>
      <c r="C510" s="58">
        <v>0</v>
      </c>
      <c r="D510" s="55">
        <v>0</v>
      </c>
      <c r="E510" s="59">
        <v>0</v>
      </c>
      <c r="F510" s="58">
        <v>0</v>
      </c>
      <c r="G510" s="55">
        <v>0</v>
      </c>
      <c r="H510" s="59">
        <v>0</v>
      </c>
      <c r="I510" s="58">
        <v>0</v>
      </c>
      <c r="J510" s="55">
        <v>0</v>
      </c>
      <c r="K510" s="59">
        <v>0</v>
      </c>
      <c r="L510" s="178">
        <v>5</v>
      </c>
      <c r="M510" s="107">
        <v>0</v>
      </c>
      <c r="N510" s="108">
        <v>0</v>
      </c>
      <c r="O510" s="58">
        <v>7</v>
      </c>
      <c r="P510" s="55">
        <v>0</v>
      </c>
      <c r="Q510" s="59">
        <v>0</v>
      </c>
      <c r="R510" s="58">
        <v>5</v>
      </c>
      <c r="S510" s="55">
        <v>0</v>
      </c>
      <c r="T510" s="59">
        <v>0</v>
      </c>
      <c r="U510" s="58">
        <v>3</v>
      </c>
      <c r="V510" s="55">
        <v>0</v>
      </c>
      <c r="W510" s="59">
        <v>0</v>
      </c>
      <c r="X510" s="58">
        <v>5</v>
      </c>
      <c r="Y510" s="55">
        <v>0</v>
      </c>
      <c r="Z510" s="59">
        <v>0</v>
      </c>
      <c r="AA510" s="58">
        <v>7</v>
      </c>
      <c r="AB510" s="55">
        <v>0</v>
      </c>
      <c r="AC510" s="59">
        <v>0</v>
      </c>
      <c r="AD510" s="58">
        <v>7</v>
      </c>
      <c r="AE510" s="55">
        <v>0</v>
      </c>
      <c r="AF510" s="59">
        <v>0</v>
      </c>
      <c r="AG510" s="58">
        <v>7</v>
      </c>
      <c r="AH510" s="55">
        <v>0</v>
      </c>
      <c r="AI510" s="59">
        <v>0</v>
      </c>
      <c r="AJ510" s="58">
        <v>1</v>
      </c>
      <c r="AK510" s="55">
        <v>0</v>
      </c>
      <c r="AL510" s="59">
        <v>0</v>
      </c>
    </row>
    <row r="511" spans="2:38" s="47" customFormat="1" ht="12.75">
      <c r="B511" s="6" t="s">
        <v>327</v>
      </c>
      <c r="C511" s="58">
        <v>0</v>
      </c>
      <c r="D511" s="55">
        <v>0</v>
      </c>
      <c r="E511" s="59">
        <v>0</v>
      </c>
      <c r="F511" s="58">
        <v>0</v>
      </c>
      <c r="G511" s="55">
        <v>0</v>
      </c>
      <c r="H511" s="59">
        <v>0</v>
      </c>
      <c r="I511" s="58">
        <v>0</v>
      </c>
      <c r="J511" s="55">
        <v>0</v>
      </c>
      <c r="K511" s="59">
        <v>0</v>
      </c>
      <c r="L511" s="178">
        <v>0</v>
      </c>
      <c r="M511" s="107">
        <v>0</v>
      </c>
      <c r="N511" s="108">
        <v>0</v>
      </c>
      <c r="O511" s="58">
        <v>0</v>
      </c>
      <c r="P511" s="55">
        <v>0</v>
      </c>
      <c r="Q511" s="59">
        <v>0</v>
      </c>
      <c r="R511" s="58">
        <v>0</v>
      </c>
      <c r="S511" s="55">
        <v>0</v>
      </c>
      <c r="T511" s="59">
        <v>0</v>
      </c>
      <c r="U511" s="58">
        <v>0</v>
      </c>
      <c r="V511" s="55">
        <v>0</v>
      </c>
      <c r="W511" s="59">
        <v>0</v>
      </c>
      <c r="X511" s="58">
        <v>0</v>
      </c>
      <c r="Y511" s="55">
        <v>0</v>
      </c>
      <c r="Z511" s="59">
        <v>0</v>
      </c>
      <c r="AA511" s="58">
        <v>1</v>
      </c>
      <c r="AB511" s="55">
        <v>0</v>
      </c>
      <c r="AC511" s="59">
        <v>0</v>
      </c>
      <c r="AD511" s="58">
        <v>1</v>
      </c>
      <c r="AE511" s="55">
        <v>0</v>
      </c>
      <c r="AF511" s="59">
        <v>0</v>
      </c>
      <c r="AG511" s="58">
        <v>0</v>
      </c>
      <c r="AH511" s="55">
        <v>0</v>
      </c>
      <c r="AI511" s="59">
        <v>0</v>
      </c>
      <c r="AJ511" s="58">
        <v>0</v>
      </c>
      <c r="AK511" s="55">
        <v>0</v>
      </c>
      <c r="AL511" s="59">
        <v>0</v>
      </c>
    </row>
    <row r="512" spans="2:38" s="47" customFormat="1" ht="12.75">
      <c r="B512" s="6" t="s">
        <v>328</v>
      </c>
      <c r="C512" s="58">
        <v>4</v>
      </c>
      <c r="D512" s="55">
        <v>1</v>
      </c>
      <c r="E512" s="59">
        <v>8</v>
      </c>
      <c r="F512" s="58">
        <v>1</v>
      </c>
      <c r="G512" s="55">
        <v>1</v>
      </c>
      <c r="H512" s="59">
        <v>11</v>
      </c>
      <c r="I512" s="58">
        <v>0</v>
      </c>
      <c r="J512" s="55">
        <v>0</v>
      </c>
      <c r="K512" s="59">
        <v>12</v>
      </c>
      <c r="L512" s="178">
        <v>2</v>
      </c>
      <c r="M512" s="107">
        <v>0</v>
      </c>
      <c r="N512" s="108">
        <v>0</v>
      </c>
      <c r="O512" s="58">
        <v>1</v>
      </c>
      <c r="P512" s="55">
        <v>0</v>
      </c>
      <c r="Q512" s="59">
        <v>0</v>
      </c>
      <c r="R512" s="58">
        <v>0</v>
      </c>
      <c r="S512" s="55">
        <v>0</v>
      </c>
      <c r="T512" s="59">
        <v>0</v>
      </c>
      <c r="U512" s="58">
        <v>0</v>
      </c>
      <c r="V512" s="55">
        <v>0</v>
      </c>
      <c r="W512" s="59">
        <v>0</v>
      </c>
      <c r="X512" s="58">
        <v>0</v>
      </c>
      <c r="Y512" s="55">
        <v>0</v>
      </c>
      <c r="Z512" s="59">
        <v>0</v>
      </c>
      <c r="AA512" s="58">
        <v>1</v>
      </c>
      <c r="AB512" s="55">
        <v>0</v>
      </c>
      <c r="AC512" s="59">
        <v>0</v>
      </c>
      <c r="AD512" s="58">
        <v>2</v>
      </c>
      <c r="AE512" s="55">
        <v>0</v>
      </c>
      <c r="AF512" s="59">
        <v>0</v>
      </c>
      <c r="AG512" s="58">
        <v>1</v>
      </c>
      <c r="AH512" s="55">
        <v>0</v>
      </c>
      <c r="AI512" s="59">
        <v>0</v>
      </c>
      <c r="AJ512" s="58">
        <v>2</v>
      </c>
      <c r="AK512" s="55">
        <v>0</v>
      </c>
      <c r="AL512" s="59">
        <v>0</v>
      </c>
    </row>
    <row r="513" spans="2:38" s="47" customFormat="1" ht="12.75">
      <c r="B513" s="6" t="s">
        <v>329</v>
      </c>
      <c r="C513" s="58">
        <v>0</v>
      </c>
      <c r="D513" s="55">
        <v>0</v>
      </c>
      <c r="E513" s="59">
        <v>42</v>
      </c>
      <c r="F513" s="58">
        <v>3</v>
      </c>
      <c r="G513" s="55">
        <v>2</v>
      </c>
      <c r="H513" s="59">
        <v>21</v>
      </c>
      <c r="I513" s="58">
        <v>1</v>
      </c>
      <c r="J513" s="55">
        <v>2</v>
      </c>
      <c r="K513" s="59">
        <v>18</v>
      </c>
      <c r="L513" s="178">
        <v>2</v>
      </c>
      <c r="M513" s="107">
        <v>0</v>
      </c>
      <c r="N513" s="108">
        <v>0</v>
      </c>
      <c r="O513" s="58">
        <v>1</v>
      </c>
      <c r="P513" s="55">
        <v>0</v>
      </c>
      <c r="Q513" s="59">
        <v>0</v>
      </c>
      <c r="R513" s="58">
        <v>1</v>
      </c>
      <c r="S513" s="55">
        <v>0</v>
      </c>
      <c r="T513" s="59">
        <v>0</v>
      </c>
      <c r="U513" s="58">
        <v>0</v>
      </c>
      <c r="V513" s="55">
        <v>0</v>
      </c>
      <c r="W513" s="59">
        <v>0</v>
      </c>
      <c r="X513" s="58">
        <v>0</v>
      </c>
      <c r="Y513" s="55">
        <v>0</v>
      </c>
      <c r="Z513" s="59">
        <v>0</v>
      </c>
      <c r="AA513" s="58">
        <v>0</v>
      </c>
      <c r="AB513" s="55">
        <v>0</v>
      </c>
      <c r="AC513" s="59">
        <v>0</v>
      </c>
      <c r="AD513" s="58">
        <v>0</v>
      </c>
      <c r="AE513" s="55">
        <v>0</v>
      </c>
      <c r="AF513" s="59">
        <v>0</v>
      </c>
      <c r="AG513" s="58">
        <v>0</v>
      </c>
      <c r="AH513" s="55">
        <v>0</v>
      </c>
      <c r="AI513" s="59">
        <v>0</v>
      </c>
      <c r="AJ513" s="58">
        <v>2</v>
      </c>
      <c r="AK513" s="55">
        <v>0</v>
      </c>
      <c r="AL513" s="59">
        <v>0</v>
      </c>
    </row>
    <row r="514" spans="2:38" s="47" customFormat="1" ht="12.75">
      <c r="B514" s="6" t="s">
        <v>330</v>
      </c>
      <c r="C514" s="58">
        <v>1</v>
      </c>
      <c r="D514" s="55">
        <v>0</v>
      </c>
      <c r="E514" s="59">
        <v>8</v>
      </c>
      <c r="F514" s="58">
        <v>1</v>
      </c>
      <c r="G514" s="55">
        <v>1</v>
      </c>
      <c r="H514" s="59">
        <v>7</v>
      </c>
      <c r="I514" s="58">
        <v>0</v>
      </c>
      <c r="J514" s="55">
        <v>0</v>
      </c>
      <c r="K514" s="59">
        <v>11</v>
      </c>
      <c r="L514" s="178">
        <v>1</v>
      </c>
      <c r="M514" s="107">
        <v>0</v>
      </c>
      <c r="N514" s="108">
        <v>14</v>
      </c>
      <c r="O514" s="58">
        <v>2</v>
      </c>
      <c r="P514" s="55">
        <v>0</v>
      </c>
      <c r="Q514" s="59">
        <v>10</v>
      </c>
      <c r="R514" s="58">
        <v>0</v>
      </c>
      <c r="S514" s="55">
        <v>0</v>
      </c>
      <c r="T514" s="59">
        <v>23</v>
      </c>
      <c r="U514" s="58">
        <v>1</v>
      </c>
      <c r="V514" s="55">
        <v>0</v>
      </c>
      <c r="W514" s="59">
        <v>62</v>
      </c>
      <c r="X514" s="58">
        <v>0</v>
      </c>
      <c r="Y514" s="55">
        <v>0</v>
      </c>
      <c r="Z514" s="59">
        <v>25</v>
      </c>
      <c r="AA514" s="58">
        <v>0</v>
      </c>
      <c r="AB514" s="55">
        <v>0</v>
      </c>
      <c r="AC514" s="59">
        <v>10</v>
      </c>
      <c r="AD514" s="58">
        <v>0</v>
      </c>
      <c r="AE514" s="55">
        <v>0</v>
      </c>
      <c r="AF514" s="59">
        <v>4</v>
      </c>
      <c r="AG514" s="58">
        <v>1</v>
      </c>
      <c r="AH514" s="55">
        <v>0</v>
      </c>
      <c r="AI514" s="59">
        <v>6</v>
      </c>
      <c r="AJ514" s="58">
        <v>1</v>
      </c>
      <c r="AK514" s="55">
        <v>0</v>
      </c>
      <c r="AL514" s="59">
        <v>7</v>
      </c>
    </row>
    <row r="515" spans="2:38" s="47" customFormat="1" ht="12.75">
      <c r="B515" s="6" t="s">
        <v>331</v>
      </c>
      <c r="C515" s="58">
        <v>4</v>
      </c>
      <c r="D515" s="55">
        <v>3</v>
      </c>
      <c r="E515" s="59">
        <v>83</v>
      </c>
      <c r="F515" s="58">
        <v>7</v>
      </c>
      <c r="G515" s="55">
        <v>7</v>
      </c>
      <c r="H515" s="59">
        <v>78</v>
      </c>
      <c r="I515" s="58">
        <v>1</v>
      </c>
      <c r="J515" s="55">
        <v>0</v>
      </c>
      <c r="K515" s="59">
        <v>55</v>
      </c>
      <c r="L515" s="178">
        <v>3</v>
      </c>
      <c r="M515" s="107">
        <v>0</v>
      </c>
      <c r="N515" s="108">
        <v>0</v>
      </c>
      <c r="O515" s="58">
        <v>2</v>
      </c>
      <c r="P515" s="55">
        <v>0</v>
      </c>
      <c r="Q515" s="59">
        <v>0</v>
      </c>
      <c r="R515" s="58">
        <v>2</v>
      </c>
      <c r="S515" s="55">
        <v>0</v>
      </c>
      <c r="T515" s="59">
        <v>0</v>
      </c>
      <c r="U515" s="58">
        <v>1</v>
      </c>
      <c r="V515" s="55">
        <v>0</v>
      </c>
      <c r="W515" s="59">
        <v>0</v>
      </c>
      <c r="X515" s="58">
        <v>7</v>
      </c>
      <c r="Y515" s="55">
        <v>0</v>
      </c>
      <c r="Z515" s="59">
        <v>0</v>
      </c>
      <c r="AA515" s="58">
        <v>1</v>
      </c>
      <c r="AB515" s="55">
        <v>0</v>
      </c>
      <c r="AC515" s="59">
        <v>0</v>
      </c>
      <c r="AD515" s="58">
        <v>6</v>
      </c>
      <c r="AE515" s="55">
        <v>0</v>
      </c>
      <c r="AF515" s="59">
        <v>0</v>
      </c>
      <c r="AG515" s="58">
        <v>1</v>
      </c>
      <c r="AH515" s="55">
        <v>0</v>
      </c>
      <c r="AI515" s="59">
        <v>0</v>
      </c>
      <c r="AJ515" s="58">
        <v>3</v>
      </c>
      <c r="AK515" s="55">
        <v>0</v>
      </c>
      <c r="AL515" s="59">
        <v>0</v>
      </c>
    </row>
    <row r="516" spans="2:38" s="47" customFormat="1" ht="13.5" thickBot="1">
      <c r="B516" s="7" t="s">
        <v>332</v>
      </c>
      <c r="C516" s="81">
        <v>0</v>
      </c>
      <c r="D516" s="70">
        <v>0</v>
      </c>
      <c r="E516" s="82">
        <v>29</v>
      </c>
      <c r="F516" s="81">
        <v>0</v>
      </c>
      <c r="G516" s="70">
        <v>1</v>
      </c>
      <c r="H516" s="82">
        <v>21</v>
      </c>
      <c r="I516" s="81">
        <v>0</v>
      </c>
      <c r="J516" s="70">
        <v>0</v>
      </c>
      <c r="K516" s="82">
        <v>13</v>
      </c>
      <c r="L516" s="179">
        <v>1</v>
      </c>
      <c r="M516" s="180">
        <v>0</v>
      </c>
      <c r="N516" s="181">
        <v>0</v>
      </c>
      <c r="O516" s="81">
        <v>1</v>
      </c>
      <c r="P516" s="70">
        <v>0</v>
      </c>
      <c r="Q516" s="82">
        <v>0</v>
      </c>
      <c r="R516" s="81">
        <v>0</v>
      </c>
      <c r="S516" s="70">
        <v>0</v>
      </c>
      <c r="T516" s="82">
        <v>0</v>
      </c>
      <c r="U516" s="81">
        <v>1</v>
      </c>
      <c r="V516" s="70">
        <v>0</v>
      </c>
      <c r="W516" s="82">
        <v>0</v>
      </c>
      <c r="X516" s="81">
        <v>0</v>
      </c>
      <c r="Y516" s="70">
        <v>0</v>
      </c>
      <c r="Z516" s="82">
        <v>0</v>
      </c>
      <c r="AA516" s="81">
        <v>0</v>
      </c>
      <c r="AB516" s="70">
        <v>0</v>
      </c>
      <c r="AC516" s="82">
        <v>0</v>
      </c>
      <c r="AD516" s="81">
        <v>0</v>
      </c>
      <c r="AE516" s="70">
        <v>0</v>
      </c>
      <c r="AF516" s="82">
        <v>0</v>
      </c>
      <c r="AG516" s="81">
        <v>0</v>
      </c>
      <c r="AH516" s="70">
        <v>0</v>
      </c>
      <c r="AI516" s="82">
        <v>0</v>
      </c>
      <c r="AJ516" s="81">
        <v>0</v>
      </c>
      <c r="AK516" s="70">
        <v>0</v>
      </c>
      <c r="AL516" s="82">
        <v>0</v>
      </c>
    </row>
    <row r="517" spans="2:38" s="47" customFormat="1" ht="13.5" thickBot="1">
      <c r="B517" s="83" t="s">
        <v>0</v>
      </c>
      <c r="C517" s="44">
        <f aca="true" t="shared" si="38" ref="C517:AL517">SUM(C504:C516)</f>
        <v>10</v>
      </c>
      <c r="D517" s="51">
        <f t="shared" si="38"/>
        <v>4</v>
      </c>
      <c r="E517" s="52">
        <f t="shared" si="38"/>
        <v>198</v>
      </c>
      <c r="F517" s="109">
        <f t="shared" si="38"/>
        <v>12</v>
      </c>
      <c r="G517" s="51">
        <f t="shared" si="38"/>
        <v>12</v>
      </c>
      <c r="H517" s="93">
        <f t="shared" si="38"/>
        <v>159</v>
      </c>
      <c r="I517" s="245">
        <f t="shared" si="38"/>
        <v>3</v>
      </c>
      <c r="J517" s="51">
        <f t="shared" si="38"/>
        <v>2</v>
      </c>
      <c r="K517" s="93">
        <f t="shared" si="38"/>
        <v>131</v>
      </c>
      <c r="L517" s="245">
        <f t="shared" si="38"/>
        <v>17</v>
      </c>
      <c r="M517" s="51">
        <f t="shared" si="38"/>
        <v>0</v>
      </c>
      <c r="N517" s="93">
        <f t="shared" si="38"/>
        <v>23</v>
      </c>
      <c r="O517" s="245">
        <f t="shared" si="38"/>
        <v>20</v>
      </c>
      <c r="P517" s="51">
        <f t="shared" si="38"/>
        <v>0</v>
      </c>
      <c r="Q517" s="93">
        <f t="shared" si="38"/>
        <v>11</v>
      </c>
      <c r="R517" s="245">
        <f t="shared" si="38"/>
        <v>11</v>
      </c>
      <c r="S517" s="51">
        <f t="shared" si="38"/>
        <v>0</v>
      </c>
      <c r="T517" s="93">
        <f t="shared" si="38"/>
        <v>34</v>
      </c>
      <c r="U517" s="245">
        <f t="shared" si="38"/>
        <v>7</v>
      </c>
      <c r="V517" s="51">
        <f t="shared" si="38"/>
        <v>0</v>
      </c>
      <c r="W517" s="93">
        <f t="shared" si="38"/>
        <v>81</v>
      </c>
      <c r="X517" s="245">
        <f t="shared" si="38"/>
        <v>15</v>
      </c>
      <c r="Y517" s="51">
        <f t="shared" si="38"/>
        <v>0</v>
      </c>
      <c r="Z517" s="93">
        <f t="shared" si="38"/>
        <v>26</v>
      </c>
      <c r="AA517" s="245">
        <f t="shared" si="38"/>
        <v>11</v>
      </c>
      <c r="AB517" s="51">
        <f t="shared" si="38"/>
        <v>0</v>
      </c>
      <c r="AC517" s="93">
        <f t="shared" si="38"/>
        <v>15</v>
      </c>
      <c r="AD517" s="245">
        <f t="shared" si="38"/>
        <v>18</v>
      </c>
      <c r="AE517" s="51">
        <f t="shared" si="38"/>
        <v>0</v>
      </c>
      <c r="AF517" s="93">
        <f t="shared" si="38"/>
        <v>9</v>
      </c>
      <c r="AG517" s="245">
        <f t="shared" si="38"/>
        <v>15</v>
      </c>
      <c r="AH517" s="51">
        <f t="shared" si="38"/>
        <v>0</v>
      </c>
      <c r="AI517" s="93">
        <f t="shared" si="38"/>
        <v>9</v>
      </c>
      <c r="AJ517" s="245">
        <f t="shared" si="38"/>
        <v>10</v>
      </c>
      <c r="AK517" s="51">
        <f t="shared" si="38"/>
        <v>0</v>
      </c>
      <c r="AL517" s="93">
        <f t="shared" si="38"/>
        <v>8</v>
      </c>
    </row>
    <row r="518" s="47" customFormat="1" ht="12.75"/>
    <row r="519" spans="2:5" s="47" customFormat="1" ht="12.75">
      <c r="B519" s="369"/>
      <c r="C519" s="369"/>
      <c r="D519" s="369"/>
      <c r="E519" s="369"/>
    </row>
    <row r="520" s="47" customFormat="1" ht="12.75"/>
    <row r="521" spans="2:5" s="47" customFormat="1" ht="12.75">
      <c r="B521" s="383" t="s">
        <v>92</v>
      </c>
      <c r="C521" s="383"/>
      <c r="D521" s="383"/>
      <c r="E521" s="383"/>
    </row>
    <row r="522" spans="2:5" s="47" customFormat="1" ht="12.75">
      <c r="B522" s="60"/>
      <c r="C522" s="60"/>
      <c r="D522" s="60"/>
      <c r="E522" s="60"/>
    </row>
    <row r="523" spans="2:5" s="47" customFormat="1" ht="12.75">
      <c r="B523" s="383" t="s">
        <v>41</v>
      </c>
      <c r="C523" s="383"/>
      <c r="D523" s="383"/>
      <c r="E523" s="383"/>
    </row>
    <row r="524" spans="2:5" s="47" customFormat="1" ht="12.75">
      <c r="B524" s="60"/>
      <c r="C524" s="60"/>
      <c r="D524" s="60"/>
      <c r="E524" s="60"/>
    </row>
    <row r="525" spans="2:5" s="47" customFormat="1" ht="12.75">
      <c r="B525" s="383" t="s">
        <v>86</v>
      </c>
      <c r="C525" s="383"/>
      <c r="D525" s="383"/>
      <c r="E525" s="383"/>
    </row>
    <row r="526" spans="2:5" s="47" customFormat="1" ht="12.75">
      <c r="B526" s="60"/>
      <c r="C526" s="60"/>
      <c r="D526" s="60"/>
      <c r="E526" s="60"/>
    </row>
    <row r="527" spans="2:5" s="47" customFormat="1" ht="12.75">
      <c r="B527" s="383">
        <v>2016</v>
      </c>
      <c r="C527" s="383"/>
      <c r="D527" s="383"/>
      <c r="E527" s="383"/>
    </row>
    <row r="528" spans="2:5" s="47" customFormat="1" ht="13.5" thickBot="1">
      <c r="B528" s="4"/>
      <c r="C528" s="4"/>
      <c r="D528" s="4"/>
      <c r="E528" s="4"/>
    </row>
    <row r="529" spans="2:38" s="47" customFormat="1" ht="13.5" customHeight="1" thickBot="1">
      <c r="B529" s="377" t="s">
        <v>394</v>
      </c>
      <c r="C529" s="374" t="s">
        <v>7</v>
      </c>
      <c r="D529" s="375"/>
      <c r="E529" s="376"/>
      <c r="F529" s="374" t="s">
        <v>433</v>
      </c>
      <c r="G529" s="375"/>
      <c r="H529" s="376"/>
      <c r="I529" s="374" t="s">
        <v>434</v>
      </c>
      <c r="J529" s="375"/>
      <c r="K529" s="376"/>
      <c r="L529" s="374" t="s">
        <v>435</v>
      </c>
      <c r="M529" s="375"/>
      <c r="N529" s="376"/>
      <c r="O529" s="374" t="s">
        <v>436</v>
      </c>
      <c r="P529" s="375"/>
      <c r="Q529" s="376"/>
      <c r="R529" s="374" t="s">
        <v>437</v>
      </c>
      <c r="S529" s="375"/>
      <c r="T529" s="376"/>
      <c r="U529" s="374" t="s">
        <v>438</v>
      </c>
      <c r="V529" s="375"/>
      <c r="W529" s="376"/>
      <c r="X529" s="374" t="s">
        <v>439</v>
      </c>
      <c r="Y529" s="375"/>
      <c r="Z529" s="376"/>
      <c r="AA529" s="374" t="s">
        <v>440</v>
      </c>
      <c r="AB529" s="375"/>
      <c r="AC529" s="376"/>
      <c r="AD529" s="374" t="s">
        <v>441</v>
      </c>
      <c r="AE529" s="375"/>
      <c r="AF529" s="376"/>
      <c r="AG529" s="374" t="s">
        <v>442</v>
      </c>
      <c r="AH529" s="375"/>
      <c r="AI529" s="376"/>
      <c r="AJ529" s="374" t="s">
        <v>443</v>
      </c>
      <c r="AK529" s="375"/>
      <c r="AL529" s="376"/>
    </row>
    <row r="530" spans="2:38" s="47" customFormat="1" ht="12.75" customHeight="1">
      <c r="B530" s="378"/>
      <c r="C530" s="367" t="s">
        <v>66</v>
      </c>
      <c r="D530" s="381" t="s">
        <v>67</v>
      </c>
      <c r="E530" s="371"/>
      <c r="F530" s="367" t="s">
        <v>66</v>
      </c>
      <c r="G530" s="381" t="s">
        <v>67</v>
      </c>
      <c r="H530" s="371"/>
      <c r="I530" s="367" t="s">
        <v>66</v>
      </c>
      <c r="J530" s="381" t="s">
        <v>67</v>
      </c>
      <c r="K530" s="371"/>
      <c r="L530" s="367" t="s">
        <v>66</v>
      </c>
      <c r="M530" s="381" t="s">
        <v>67</v>
      </c>
      <c r="N530" s="371"/>
      <c r="O530" s="367" t="s">
        <v>66</v>
      </c>
      <c r="P530" s="381" t="s">
        <v>67</v>
      </c>
      <c r="Q530" s="371"/>
      <c r="R530" s="367" t="s">
        <v>66</v>
      </c>
      <c r="S530" s="381" t="s">
        <v>67</v>
      </c>
      <c r="T530" s="371"/>
      <c r="U530" s="367" t="s">
        <v>66</v>
      </c>
      <c r="V530" s="381" t="s">
        <v>67</v>
      </c>
      <c r="W530" s="371"/>
      <c r="X530" s="367" t="s">
        <v>66</v>
      </c>
      <c r="Y530" s="381" t="s">
        <v>67</v>
      </c>
      <c r="Z530" s="371"/>
      <c r="AA530" s="367" t="s">
        <v>66</v>
      </c>
      <c r="AB530" s="381" t="s">
        <v>67</v>
      </c>
      <c r="AC530" s="371"/>
      <c r="AD530" s="367" t="s">
        <v>66</v>
      </c>
      <c r="AE530" s="381" t="s">
        <v>67</v>
      </c>
      <c r="AF530" s="371"/>
      <c r="AG530" s="367" t="s">
        <v>66</v>
      </c>
      <c r="AH530" s="381" t="s">
        <v>67</v>
      </c>
      <c r="AI530" s="371"/>
      <c r="AJ530" s="367" t="s">
        <v>66</v>
      </c>
      <c r="AK530" s="381" t="s">
        <v>67</v>
      </c>
      <c r="AL530" s="371"/>
    </row>
    <row r="531" spans="2:38" s="47" customFormat="1" ht="13.5" thickBot="1">
      <c r="B531" s="379"/>
      <c r="C531" s="368"/>
      <c r="D531" s="382"/>
      <c r="E531" s="373"/>
      <c r="F531" s="368"/>
      <c r="G531" s="382"/>
      <c r="H531" s="373"/>
      <c r="I531" s="368"/>
      <c r="J531" s="382"/>
      <c r="K531" s="373"/>
      <c r="L531" s="368"/>
      <c r="M531" s="382"/>
      <c r="N531" s="373"/>
      <c r="O531" s="368"/>
      <c r="P531" s="382"/>
      <c r="Q531" s="373"/>
      <c r="R531" s="368"/>
      <c r="S531" s="382"/>
      <c r="T531" s="373"/>
      <c r="U531" s="368"/>
      <c r="V531" s="382"/>
      <c r="W531" s="373"/>
      <c r="X531" s="368"/>
      <c r="Y531" s="382"/>
      <c r="Z531" s="373"/>
      <c r="AA531" s="368"/>
      <c r="AB531" s="382"/>
      <c r="AC531" s="373"/>
      <c r="AD531" s="368"/>
      <c r="AE531" s="382"/>
      <c r="AF531" s="373"/>
      <c r="AG531" s="368"/>
      <c r="AH531" s="382"/>
      <c r="AI531" s="373"/>
      <c r="AJ531" s="368"/>
      <c r="AK531" s="382"/>
      <c r="AL531" s="373"/>
    </row>
    <row r="532" spans="2:38" s="47" customFormat="1" ht="26.25" thickBot="1">
      <c r="B532" s="380"/>
      <c r="C532" s="96" t="s">
        <v>68</v>
      </c>
      <c r="D532" s="97" t="s">
        <v>69</v>
      </c>
      <c r="E532" s="98" t="s">
        <v>70</v>
      </c>
      <c r="F532" s="96" t="s">
        <v>68</v>
      </c>
      <c r="G532" s="97" t="s">
        <v>69</v>
      </c>
      <c r="H532" s="98" t="s">
        <v>70</v>
      </c>
      <c r="I532" s="96" t="s">
        <v>68</v>
      </c>
      <c r="J532" s="97" t="s">
        <v>69</v>
      </c>
      <c r="K532" s="98" t="s">
        <v>70</v>
      </c>
      <c r="L532" s="96" t="s">
        <v>68</v>
      </c>
      <c r="M532" s="97" t="s">
        <v>69</v>
      </c>
      <c r="N532" s="98" t="s">
        <v>70</v>
      </c>
      <c r="O532" s="96" t="s">
        <v>68</v>
      </c>
      <c r="P532" s="97" t="s">
        <v>69</v>
      </c>
      <c r="Q532" s="98" t="s">
        <v>70</v>
      </c>
      <c r="R532" s="96" t="s">
        <v>68</v>
      </c>
      <c r="S532" s="97" t="s">
        <v>69</v>
      </c>
      <c r="T532" s="98" t="s">
        <v>70</v>
      </c>
      <c r="U532" s="96" t="s">
        <v>68</v>
      </c>
      <c r="V532" s="97" t="s">
        <v>69</v>
      </c>
      <c r="W532" s="98" t="s">
        <v>70</v>
      </c>
      <c r="X532" s="96" t="s">
        <v>68</v>
      </c>
      <c r="Y532" s="97" t="s">
        <v>69</v>
      </c>
      <c r="Z532" s="98" t="s">
        <v>70</v>
      </c>
      <c r="AA532" s="96" t="s">
        <v>68</v>
      </c>
      <c r="AB532" s="97" t="s">
        <v>69</v>
      </c>
      <c r="AC532" s="98" t="s">
        <v>70</v>
      </c>
      <c r="AD532" s="96" t="s">
        <v>68</v>
      </c>
      <c r="AE532" s="97" t="s">
        <v>69</v>
      </c>
      <c r="AF532" s="98" t="s">
        <v>70</v>
      </c>
      <c r="AG532" s="96" t="s">
        <v>68</v>
      </c>
      <c r="AH532" s="97" t="s">
        <v>69</v>
      </c>
      <c r="AI532" s="98" t="s">
        <v>70</v>
      </c>
      <c r="AJ532" s="96" t="s">
        <v>68</v>
      </c>
      <c r="AK532" s="97" t="s">
        <v>69</v>
      </c>
      <c r="AL532" s="98" t="s">
        <v>70</v>
      </c>
    </row>
    <row r="533" spans="2:38" s="47" customFormat="1" ht="12.75">
      <c r="B533" s="5" t="s">
        <v>333</v>
      </c>
      <c r="C533" s="76">
        <v>0</v>
      </c>
      <c r="D533" s="65">
        <v>0</v>
      </c>
      <c r="E533" s="77">
        <v>34</v>
      </c>
      <c r="F533" s="76">
        <v>0</v>
      </c>
      <c r="G533" s="65">
        <v>0</v>
      </c>
      <c r="H533" s="77">
        <v>13</v>
      </c>
      <c r="I533" s="76">
        <v>1</v>
      </c>
      <c r="J533" s="65">
        <v>0</v>
      </c>
      <c r="K533" s="77">
        <v>26</v>
      </c>
      <c r="L533" s="76">
        <v>0</v>
      </c>
      <c r="M533" s="65">
        <v>0</v>
      </c>
      <c r="N533" s="77">
        <v>0</v>
      </c>
      <c r="O533" s="76">
        <v>1</v>
      </c>
      <c r="P533" s="65">
        <v>0</v>
      </c>
      <c r="Q533" s="77">
        <v>0</v>
      </c>
      <c r="R533" s="76">
        <v>1</v>
      </c>
      <c r="S533" s="65">
        <v>0</v>
      </c>
      <c r="T533" s="77">
        <v>0</v>
      </c>
      <c r="U533" s="76">
        <v>0</v>
      </c>
      <c r="V533" s="65">
        <v>0</v>
      </c>
      <c r="W533" s="77">
        <v>0</v>
      </c>
      <c r="X533" s="76">
        <v>0</v>
      </c>
      <c r="Y533" s="65">
        <v>0</v>
      </c>
      <c r="Z533" s="77">
        <v>0</v>
      </c>
      <c r="AA533" s="76">
        <v>0</v>
      </c>
      <c r="AB533" s="65">
        <v>0</v>
      </c>
      <c r="AC533" s="77">
        <v>0</v>
      </c>
      <c r="AD533" s="76">
        <v>0</v>
      </c>
      <c r="AE533" s="65">
        <v>0</v>
      </c>
      <c r="AF533" s="77">
        <v>0</v>
      </c>
      <c r="AG533" s="76">
        <v>0</v>
      </c>
      <c r="AH533" s="65">
        <v>0</v>
      </c>
      <c r="AI533" s="77">
        <v>0</v>
      </c>
      <c r="AJ533" s="76">
        <v>0</v>
      </c>
      <c r="AK533" s="65">
        <v>0</v>
      </c>
      <c r="AL533" s="77">
        <v>0</v>
      </c>
    </row>
    <row r="534" spans="2:38" s="47" customFormat="1" ht="12.75">
      <c r="B534" s="6" t="s">
        <v>334</v>
      </c>
      <c r="C534" s="58">
        <v>0</v>
      </c>
      <c r="D534" s="55">
        <v>0</v>
      </c>
      <c r="E534" s="59">
        <v>0</v>
      </c>
      <c r="F534" s="58">
        <v>0</v>
      </c>
      <c r="G534" s="55">
        <v>0</v>
      </c>
      <c r="H534" s="59">
        <v>0</v>
      </c>
      <c r="I534" s="58">
        <v>0</v>
      </c>
      <c r="J534" s="55">
        <v>0</v>
      </c>
      <c r="K534" s="59">
        <v>0</v>
      </c>
      <c r="L534" s="58">
        <v>0</v>
      </c>
      <c r="M534" s="55">
        <v>0</v>
      </c>
      <c r="N534" s="59">
        <v>0</v>
      </c>
      <c r="O534" s="58">
        <v>0</v>
      </c>
      <c r="P534" s="55">
        <v>0</v>
      </c>
      <c r="Q534" s="59">
        <v>0</v>
      </c>
      <c r="R534" s="58">
        <v>0</v>
      </c>
      <c r="S534" s="55">
        <v>0</v>
      </c>
      <c r="T534" s="59">
        <v>0</v>
      </c>
      <c r="U534" s="58">
        <v>0</v>
      </c>
      <c r="V534" s="55">
        <v>0</v>
      </c>
      <c r="W534" s="59">
        <v>0</v>
      </c>
      <c r="X534" s="58">
        <v>0</v>
      </c>
      <c r="Y534" s="55">
        <v>0</v>
      </c>
      <c r="Z534" s="59">
        <v>0</v>
      </c>
      <c r="AA534" s="58">
        <v>0</v>
      </c>
      <c r="AB534" s="55">
        <v>0</v>
      </c>
      <c r="AC534" s="59">
        <v>0</v>
      </c>
      <c r="AD534" s="58">
        <v>0</v>
      </c>
      <c r="AE534" s="55">
        <v>0</v>
      </c>
      <c r="AF534" s="59">
        <v>0</v>
      </c>
      <c r="AG534" s="58">
        <v>0</v>
      </c>
      <c r="AH534" s="55">
        <v>0</v>
      </c>
      <c r="AI534" s="59">
        <v>0</v>
      </c>
      <c r="AJ534" s="58">
        <v>0</v>
      </c>
      <c r="AK534" s="55">
        <v>0</v>
      </c>
      <c r="AL534" s="59">
        <v>0</v>
      </c>
    </row>
    <row r="535" spans="2:38" s="47" customFormat="1" ht="12.75">
      <c r="B535" s="6" t="s">
        <v>335</v>
      </c>
      <c r="C535" s="58">
        <v>2</v>
      </c>
      <c r="D535" s="55">
        <v>1</v>
      </c>
      <c r="E535" s="59">
        <v>29</v>
      </c>
      <c r="F535" s="58">
        <v>0</v>
      </c>
      <c r="G535" s="55">
        <v>0</v>
      </c>
      <c r="H535" s="59">
        <v>24</v>
      </c>
      <c r="I535" s="58">
        <v>0</v>
      </c>
      <c r="J535" s="55">
        <v>0</v>
      </c>
      <c r="K535" s="59">
        <v>13</v>
      </c>
      <c r="L535" s="58">
        <v>0</v>
      </c>
      <c r="M535" s="55">
        <v>0</v>
      </c>
      <c r="N535" s="59">
        <v>0</v>
      </c>
      <c r="O535" s="58">
        <v>0</v>
      </c>
      <c r="P535" s="55">
        <v>0</v>
      </c>
      <c r="Q535" s="59">
        <v>0</v>
      </c>
      <c r="R535" s="58">
        <v>0</v>
      </c>
      <c r="S535" s="55">
        <v>0</v>
      </c>
      <c r="T535" s="59">
        <v>0</v>
      </c>
      <c r="U535" s="58">
        <v>1</v>
      </c>
      <c r="V535" s="55">
        <v>0</v>
      </c>
      <c r="W535" s="59">
        <v>0</v>
      </c>
      <c r="X535" s="58">
        <v>0</v>
      </c>
      <c r="Y535" s="55">
        <v>0</v>
      </c>
      <c r="Z535" s="59">
        <v>0</v>
      </c>
      <c r="AA535" s="58">
        <v>0</v>
      </c>
      <c r="AB535" s="55">
        <v>0</v>
      </c>
      <c r="AC535" s="59">
        <v>0</v>
      </c>
      <c r="AD535" s="58">
        <v>0</v>
      </c>
      <c r="AE535" s="55">
        <v>0</v>
      </c>
      <c r="AF535" s="59">
        <v>0</v>
      </c>
      <c r="AG535" s="58">
        <v>0</v>
      </c>
      <c r="AH535" s="55">
        <v>0</v>
      </c>
      <c r="AI535" s="59">
        <v>0</v>
      </c>
      <c r="AJ535" s="58">
        <v>0</v>
      </c>
      <c r="AK535" s="55">
        <v>0</v>
      </c>
      <c r="AL535" s="59">
        <v>0</v>
      </c>
    </row>
    <row r="536" spans="2:38" s="47" customFormat="1" ht="12.75">
      <c r="B536" s="6" t="s">
        <v>336</v>
      </c>
      <c r="C536" s="58">
        <v>0</v>
      </c>
      <c r="D536" s="55">
        <v>0</v>
      </c>
      <c r="E536" s="59">
        <v>19</v>
      </c>
      <c r="F536" s="58">
        <v>0</v>
      </c>
      <c r="G536" s="55">
        <v>0</v>
      </c>
      <c r="H536" s="59">
        <v>11</v>
      </c>
      <c r="I536" s="58">
        <v>0</v>
      </c>
      <c r="J536" s="55">
        <v>0</v>
      </c>
      <c r="K536" s="59">
        <v>22</v>
      </c>
      <c r="L536" s="58">
        <v>0</v>
      </c>
      <c r="M536" s="55">
        <v>0</v>
      </c>
      <c r="N536" s="59">
        <v>0</v>
      </c>
      <c r="O536" s="58">
        <v>0</v>
      </c>
      <c r="P536" s="55">
        <v>0</v>
      </c>
      <c r="Q536" s="59">
        <v>0</v>
      </c>
      <c r="R536" s="58">
        <v>0</v>
      </c>
      <c r="S536" s="55">
        <v>0</v>
      </c>
      <c r="T536" s="59">
        <v>0</v>
      </c>
      <c r="U536" s="58">
        <v>1</v>
      </c>
      <c r="V536" s="55">
        <v>0</v>
      </c>
      <c r="W536" s="59">
        <v>0</v>
      </c>
      <c r="X536" s="58">
        <v>0</v>
      </c>
      <c r="Y536" s="55">
        <v>0</v>
      </c>
      <c r="Z536" s="59">
        <v>0</v>
      </c>
      <c r="AA536" s="58">
        <v>0</v>
      </c>
      <c r="AB536" s="55">
        <v>0</v>
      </c>
      <c r="AC536" s="59">
        <v>0</v>
      </c>
      <c r="AD536" s="58">
        <v>0</v>
      </c>
      <c r="AE536" s="55">
        <v>0</v>
      </c>
      <c r="AF536" s="59">
        <v>0</v>
      </c>
      <c r="AG536" s="58">
        <v>0</v>
      </c>
      <c r="AH536" s="55">
        <v>0</v>
      </c>
      <c r="AI536" s="59">
        <v>0</v>
      </c>
      <c r="AJ536" s="58">
        <v>0</v>
      </c>
      <c r="AK536" s="55">
        <v>0</v>
      </c>
      <c r="AL536" s="59">
        <v>0</v>
      </c>
    </row>
    <row r="537" spans="2:38" s="47" customFormat="1" ht="12.75">
      <c r="B537" s="6" t="s">
        <v>337</v>
      </c>
      <c r="C537" s="58">
        <v>0</v>
      </c>
      <c r="D537" s="55">
        <v>0</v>
      </c>
      <c r="E537" s="59">
        <v>0</v>
      </c>
      <c r="F537" s="58">
        <v>0</v>
      </c>
      <c r="G537" s="55">
        <v>0</v>
      </c>
      <c r="H537" s="59">
        <v>0</v>
      </c>
      <c r="I537" s="58">
        <v>0</v>
      </c>
      <c r="J537" s="55">
        <v>0</v>
      </c>
      <c r="K537" s="59">
        <v>0</v>
      </c>
      <c r="L537" s="58">
        <v>0</v>
      </c>
      <c r="M537" s="55">
        <v>0</v>
      </c>
      <c r="N537" s="59">
        <v>0</v>
      </c>
      <c r="O537" s="58">
        <v>0</v>
      </c>
      <c r="P537" s="55">
        <v>0</v>
      </c>
      <c r="Q537" s="59">
        <v>0</v>
      </c>
      <c r="R537" s="58">
        <v>0</v>
      </c>
      <c r="S537" s="55">
        <v>0</v>
      </c>
      <c r="T537" s="59">
        <v>0</v>
      </c>
      <c r="U537" s="58">
        <v>1</v>
      </c>
      <c r="V537" s="55">
        <v>0</v>
      </c>
      <c r="W537" s="59">
        <v>0</v>
      </c>
      <c r="X537" s="58">
        <v>1</v>
      </c>
      <c r="Y537" s="55">
        <v>0</v>
      </c>
      <c r="Z537" s="59">
        <v>0</v>
      </c>
      <c r="AA537" s="58">
        <v>0</v>
      </c>
      <c r="AB537" s="55">
        <v>0</v>
      </c>
      <c r="AC537" s="59">
        <v>0</v>
      </c>
      <c r="AD537" s="58">
        <v>0</v>
      </c>
      <c r="AE537" s="55">
        <v>0</v>
      </c>
      <c r="AF537" s="59">
        <v>0</v>
      </c>
      <c r="AG537" s="58">
        <v>0</v>
      </c>
      <c r="AH537" s="55">
        <v>0</v>
      </c>
      <c r="AI537" s="59">
        <v>0</v>
      </c>
      <c r="AJ537" s="58">
        <v>0</v>
      </c>
      <c r="AK537" s="55">
        <v>0</v>
      </c>
      <c r="AL537" s="59">
        <v>0</v>
      </c>
    </row>
    <row r="538" spans="2:38" s="47" customFormat="1" ht="12.75">
      <c r="B538" s="6" t="s">
        <v>338</v>
      </c>
      <c r="C538" s="58">
        <v>0</v>
      </c>
      <c r="D538" s="55">
        <v>0</v>
      </c>
      <c r="E538" s="59">
        <v>0</v>
      </c>
      <c r="F538" s="58">
        <v>0</v>
      </c>
      <c r="G538" s="55">
        <v>0</v>
      </c>
      <c r="H538" s="59">
        <v>0</v>
      </c>
      <c r="I538" s="58">
        <v>0</v>
      </c>
      <c r="J538" s="55">
        <v>0</v>
      </c>
      <c r="K538" s="59">
        <v>0</v>
      </c>
      <c r="L538" s="58">
        <v>1</v>
      </c>
      <c r="M538" s="55">
        <v>0</v>
      </c>
      <c r="N538" s="59">
        <v>0</v>
      </c>
      <c r="O538" s="58">
        <v>0</v>
      </c>
      <c r="P538" s="55">
        <v>0</v>
      </c>
      <c r="Q538" s="59">
        <v>0</v>
      </c>
      <c r="R538" s="58">
        <v>3</v>
      </c>
      <c r="S538" s="55">
        <v>0</v>
      </c>
      <c r="T538" s="59">
        <v>0</v>
      </c>
      <c r="U538" s="58">
        <v>0</v>
      </c>
      <c r="V538" s="55">
        <v>0</v>
      </c>
      <c r="W538" s="59">
        <v>0</v>
      </c>
      <c r="X538" s="58">
        <v>5</v>
      </c>
      <c r="Y538" s="55">
        <v>0</v>
      </c>
      <c r="Z538" s="59">
        <v>0</v>
      </c>
      <c r="AA538" s="58">
        <v>0</v>
      </c>
      <c r="AB538" s="55">
        <v>0</v>
      </c>
      <c r="AC538" s="59">
        <v>0</v>
      </c>
      <c r="AD538" s="58">
        <v>0</v>
      </c>
      <c r="AE538" s="55">
        <v>0</v>
      </c>
      <c r="AF538" s="59">
        <v>0</v>
      </c>
      <c r="AG538" s="58">
        <v>0</v>
      </c>
      <c r="AH538" s="55">
        <v>0</v>
      </c>
      <c r="AI538" s="59">
        <v>0</v>
      </c>
      <c r="AJ538" s="58">
        <v>0</v>
      </c>
      <c r="AK538" s="55">
        <v>0</v>
      </c>
      <c r="AL538" s="59">
        <v>0</v>
      </c>
    </row>
    <row r="539" spans="2:38" s="47" customFormat="1" ht="12.75">
      <c r="B539" s="6" t="s">
        <v>339</v>
      </c>
      <c r="C539" s="58">
        <v>0</v>
      </c>
      <c r="D539" s="55">
        <v>0</v>
      </c>
      <c r="E539" s="59">
        <v>0</v>
      </c>
      <c r="F539" s="58">
        <v>1</v>
      </c>
      <c r="G539" s="55">
        <v>0</v>
      </c>
      <c r="H539" s="59">
        <v>0</v>
      </c>
      <c r="I539" s="58">
        <v>0</v>
      </c>
      <c r="J539" s="55">
        <v>0</v>
      </c>
      <c r="K539" s="59">
        <v>0</v>
      </c>
      <c r="L539" s="58">
        <v>0</v>
      </c>
      <c r="M539" s="55">
        <v>0</v>
      </c>
      <c r="N539" s="59">
        <v>0</v>
      </c>
      <c r="O539" s="58">
        <v>0</v>
      </c>
      <c r="P539" s="55">
        <v>0</v>
      </c>
      <c r="Q539" s="59">
        <v>0</v>
      </c>
      <c r="R539" s="58">
        <v>1</v>
      </c>
      <c r="S539" s="55">
        <v>0</v>
      </c>
      <c r="T539" s="59">
        <v>0</v>
      </c>
      <c r="U539" s="58">
        <v>0</v>
      </c>
      <c r="V539" s="55">
        <v>0</v>
      </c>
      <c r="W539" s="59">
        <v>0</v>
      </c>
      <c r="X539" s="58">
        <v>0</v>
      </c>
      <c r="Y539" s="55">
        <v>0</v>
      </c>
      <c r="Z539" s="59">
        <v>0</v>
      </c>
      <c r="AA539" s="58">
        <v>0</v>
      </c>
      <c r="AB539" s="55">
        <v>0</v>
      </c>
      <c r="AC539" s="59">
        <v>0</v>
      </c>
      <c r="AD539" s="58">
        <v>0</v>
      </c>
      <c r="AE539" s="55">
        <v>0</v>
      </c>
      <c r="AF539" s="59">
        <v>0</v>
      </c>
      <c r="AG539" s="58">
        <v>0</v>
      </c>
      <c r="AH539" s="55">
        <v>0</v>
      </c>
      <c r="AI539" s="59">
        <v>0</v>
      </c>
      <c r="AJ539" s="58">
        <v>1</v>
      </c>
      <c r="AK539" s="55">
        <v>0</v>
      </c>
      <c r="AL539" s="59">
        <v>0</v>
      </c>
    </row>
    <row r="540" spans="2:38" s="47" customFormat="1" ht="12.75">
      <c r="B540" s="6" t="s">
        <v>340</v>
      </c>
      <c r="C540" s="58">
        <v>0</v>
      </c>
      <c r="D540" s="55">
        <v>0</v>
      </c>
      <c r="E540" s="59">
        <v>133</v>
      </c>
      <c r="F540" s="58">
        <v>0</v>
      </c>
      <c r="G540" s="55">
        <v>3</v>
      </c>
      <c r="H540" s="59">
        <v>76</v>
      </c>
      <c r="I540" s="58">
        <v>3</v>
      </c>
      <c r="J540" s="55">
        <v>0</v>
      </c>
      <c r="K540" s="59">
        <v>28</v>
      </c>
      <c r="L540" s="58">
        <v>2</v>
      </c>
      <c r="M540" s="55">
        <v>0</v>
      </c>
      <c r="N540" s="59">
        <v>0</v>
      </c>
      <c r="O540" s="58">
        <v>1</v>
      </c>
      <c r="P540" s="55">
        <v>0</v>
      </c>
      <c r="Q540" s="59">
        <v>0</v>
      </c>
      <c r="R540" s="58">
        <v>0</v>
      </c>
      <c r="S540" s="55">
        <v>0</v>
      </c>
      <c r="T540" s="59">
        <v>0</v>
      </c>
      <c r="U540" s="58">
        <v>2</v>
      </c>
      <c r="V540" s="55">
        <v>0</v>
      </c>
      <c r="W540" s="59">
        <v>0</v>
      </c>
      <c r="X540" s="58">
        <v>0</v>
      </c>
      <c r="Y540" s="55">
        <v>0</v>
      </c>
      <c r="Z540" s="59">
        <v>0</v>
      </c>
      <c r="AA540" s="58">
        <v>3</v>
      </c>
      <c r="AB540" s="55">
        <v>0</v>
      </c>
      <c r="AC540" s="59">
        <v>0</v>
      </c>
      <c r="AD540" s="58">
        <v>2</v>
      </c>
      <c r="AE540" s="55">
        <v>0</v>
      </c>
      <c r="AF540" s="59">
        <v>0</v>
      </c>
      <c r="AG540" s="58">
        <v>1</v>
      </c>
      <c r="AH540" s="55">
        <v>0</v>
      </c>
      <c r="AI540" s="59">
        <v>0</v>
      </c>
      <c r="AJ540" s="58">
        <v>0</v>
      </c>
      <c r="AK540" s="55">
        <v>0</v>
      </c>
      <c r="AL540" s="59">
        <v>0</v>
      </c>
    </row>
    <row r="541" spans="2:38" s="47" customFormat="1" ht="12.75">
      <c r="B541" s="6" t="s">
        <v>341</v>
      </c>
      <c r="C541" s="58">
        <v>0</v>
      </c>
      <c r="D541" s="55">
        <v>0</v>
      </c>
      <c r="E541" s="59">
        <v>32</v>
      </c>
      <c r="F541" s="58">
        <v>1</v>
      </c>
      <c r="G541" s="55">
        <v>3</v>
      </c>
      <c r="H541" s="59">
        <v>23</v>
      </c>
      <c r="I541" s="58">
        <v>0</v>
      </c>
      <c r="J541" s="55">
        <v>0</v>
      </c>
      <c r="K541" s="59">
        <v>0</v>
      </c>
      <c r="L541" s="58">
        <v>2</v>
      </c>
      <c r="M541" s="55">
        <v>0</v>
      </c>
      <c r="N541" s="59">
        <v>0</v>
      </c>
      <c r="O541" s="58">
        <v>0</v>
      </c>
      <c r="P541" s="55">
        <v>0</v>
      </c>
      <c r="Q541" s="59">
        <v>0</v>
      </c>
      <c r="R541" s="58">
        <v>1</v>
      </c>
      <c r="S541" s="55">
        <v>0</v>
      </c>
      <c r="T541" s="59">
        <v>0</v>
      </c>
      <c r="U541" s="58">
        <v>2</v>
      </c>
      <c r="V541" s="55">
        <v>0</v>
      </c>
      <c r="W541" s="59">
        <v>0</v>
      </c>
      <c r="X541" s="58">
        <v>2</v>
      </c>
      <c r="Y541" s="55">
        <v>0</v>
      </c>
      <c r="Z541" s="59">
        <v>0</v>
      </c>
      <c r="AA541" s="58">
        <v>3</v>
      </c>
      <c r="AB541" s="55">
        <v>0</v>
      </c>
      <c r="AC541" s="59">
        <v>0</v>
      </c>
      <c r="AD541" s="58">
        <v>1</v>
      </c>
      <c r="AE541" s="55">
        <v>0</v>
      </c>
      <c r="AF541" s="59">
        <v>0</v>
      </c>
      <c r="AG541" s="58">
        <v>0</v>
      </c>
      <c r="AH541" s="55">
        <v>0</v>
      </c>
      <c r="AI541" s="59">
        <v>0</v>
      </c>
      <c r="AJ541" s="58">
        <v>0</v>
      </c>
      <c r="AK541" s="55">
        <v>0</v>
      </c>
      <c r="AL541" s="59">
        <v>0</v>
      </c>
    </row>
    <row r="542" spans="2:38" s="47" customFormat="1" ht="12.75">
      <c r="B542" s="6" t="s">
        <v>342</v>
      </c>
      <c r="C542" s="58">
        <v>0</v>
      </c>
      <c r="D542" s="55">
        <v>0</v>
      </c>
      <c r="E542" s="59">
        <v>2</v>
      </c>
      <c r="F542" s="58">
        <v>0</v>
      </c>
      <c r="G542" s="55">
        <v>0</v>
      </c>
      <c r="H542" s="59">
        <v>0</v>
      </c>
      <c r="I542" s="58">
        <v>0</v>
      </c>
      <c r="J542" s="55">
        <v>0</v>
      </c>
      <c r="K542" s="59">
        <v>6</v>
      </c>
      <c r="L542" s="58">
        <v>0</v>
      </c>
      <c r="M542" s="55">
        <v>0</v>
      </c>
      <c r="N542" s="59">
        <v>0</v>
      </c>
      <c r="O542" s="58">
        <v>0</v>
      </c>
      <c r="P542" s="55">
        <v>0</v>
      </c>
      <c r="Q542" s="59">
        <v>0</v>
      </c>
      <c r="R542" s="58">
        <v>0</v>
      </c>
      <c r="S542" s="55">
        <v>0</v>
      </c>
      <c r="T542" s="59">
        <v>1</v>
      </c>
      <c r="U542" s="58">
        <v>0</v>
      </c>
      <c r="V542" s="55">
        <v>0</v>
      </c>
      <c r="W542" s="59">
        <v>5</v>
      </c>
      <c r="X542" s="58">
        <v>0</v>
      </c>
      <c r="Y542" s="55">
        <v>0</v>
      </c>
      <c r="Z542" s="59">
        <v>0</v>
      </c>
      <c r="AA542" s="58">
        <v>0</v>
      </c>
      <c r="AB542" s="55">
        <v>0</v>
      </c>
      <c r="AC542" s="59">
        <v>4</v>
      </c>
      <c r="AD542" s="58">
        <v>0</v>
      </c>
      <c r="AE542" s="55">
        <v>0</v>
      </c>
      <c r="AF542" s="59">
        <v>0</v>
      </c>
      <c r="AG542" s="58">
        <v>0</v>
      </c>
      <c r="AH542" s="55">
        <v>0</v>
      </c>
      <c r="AI542" s="59">
        <v>2</v>
      </c>
      <c r="AJ542" s="58">
        <v>0</v>
      </c>
      <c r="AK542" s="55">
        <v>0</v>
      </c>
      <c r="AL542" s="59">
        <v>4</v>
      </c>
    </row>
    <row r="543" spans="2:38" s="47" customFormat="1" ht="12.75">
      <c r="B543" s="46" t="s">
        <v>426</v>
      </c>
      <c r="C543" s="58">
        <v>0</v>
      </c>
      <c r="D543" s="55">
        <v>0</v>
      </c>
      <c r="E543" s="59">
        <v>1</v>
      </c>
      <c r="F543" s="58">
        <v>1</v>
      </c>
      <c r="G543" s="55">
        <v>0</v>
      </c>
      <c r="H543" s="59">
        <v>5</v>
      </c>
      <c r="I543" s="58">
        <v>0</v>
      </c>
      <c r="J543" s="55">
        <v>0</v>
      </c>
      <c r="K543" s="59">
        <v>9</v>
      </c>
      <c r="L543" s="58">
        <v>0</v>
      </c>
      <c r="M543" s="55">
        <v>0</v>
      </c>
      <c r="N543" s="59">
        <v>0</v>
      </c>
      <c r="O543" s="58">
        <v>0</v>
      </c>
      <c r="P543" s="55">
        <v>0</v>
      </c>
      <c r="Q543" s="59">
        <v>0</v>
      </c>
      <c r="R543" s="58">
        <v>0</v>
      </c>
      <c r="S543" s="55">
        <v>0</v>
      </c>
      <c r="T543" s="59">
        <v>0</v>
      </c>
      <c r="U543" s="58">
        <v>1</v>
      </c>
      <c r="V543" s="55">
        <v>0</v>
      </c>
      <c r="W543" s="59">
        <v>0</v>
      </c>
      <c r="X543" s="58">
        <v>0</v>
      </c>
      <c r="Y543" s="55">
        <v>0</v>
      </c>
      <c r="Z543" s="59">
        <v>0</v>
      </c>
      <c r="AA543" s="58">
        <v>0</v>
      </c>
      <c r="AB543" s="55">
        <v>0</v>
      </c>
      <c r="AC543" s="59">
        <v>0</v>
      </c>
      <c r="AD543" s="58">
        <v>0</v>
      </c>
      <c r="AE543" s="55">
        <v>0</v>
      </c>
      <c r="AF543" s="59">
        <v>0</v>
      </c>
      <c r="AG543" s="58">
        <v>0</v>
      </c>
      <c r="AH543" s="55">
        <v>0</v>
      </c>
      <c r="AI543" s="59">
        <v>0</v>
      </c>
      <c r="AJ543" s="58">
        <v>0</v>
      </c>
      <c r="AK543" s="55">
        <v>0</v>
      </c>
      <c r="AL543" s="59">
        <v>0</v>
      </c>
    </row>
    <row r="544" spans="2:38" s="47" customFormat="1" ht="12.75">
      <c r="B544" s="6" t="s">
        <v>343</v>
      </c>
      <c r="C544" s="58">
        <v>0</v>
      </c>
      <c r="D544" s="55">
        <v>0</v>
      </c>
      <c r="E544" s="59">
        <v>8</v>
      </c>
      <c r="F544" s="58">
        <v>0</v>
      </c>
      <c r="G544" s="55">
        <v>0</v>
      </c>
      <c r="H544" s="59">
        <v>0</v>
      </c>
      <c r="I544" s="58">
        <v>0</v>
      </c>
      <c r="J544" s="55">
        <v>0</v>
      </c>
      <c r="K544" s="59">
        <v>0</v>
      </c>
      <c r="L544" s="58">
        <v>1</v>
      </c>
      <c r="M544" s="55">
        <v>0</v>
      </c>
      <c r="N544" s="59">
        <v>0</v>
      </c>
      <c r="O544" s="58">
        <v>0</v>
      </c>
      <c r="P544" s="55">
        <v>0</v>
      </c>
      <c r="Q544" s="59">
        <v>0</v>
      </c>
      <c r="R544" s="58">
        <v>0</v>
      </c>
      <c r="S544" s="55">
        <v>0</v>
      </c>
      <c r="T544" s="59">
        <v>0</v>
      </c>
      <c r="U544" s="58">
        <v>0</v>
      </c>
      <c r="V544" s="55">
        <v>0</v>
      </c>
      <c r="W544" s="59">
        <v>0</v>
      </c>
      <c r="X544" s="58">
        <v>0</v>
      </c>
      <c r="Y544" s="55">
        <v>0</v>
      </c>
      <c r="Z544" s="59">
        <v>0</v>
      </c>
      <c r="AA544" s="58">
        <v>0</v>
      </c>
      <c r="AB544" s="55">
        <v>0</v>
      </c>
      <c r="AC544" s="59">
        <v>0</v>
      </c>
      <c r="AD544" s="58">
        <v>0</v>
      </c>
      <c r="AE544" s="55">
        <v>0</v>
      </c>
      <c r="AF544" s="59">
        <v>0</v>
      </c>
      <c r="AG544" s="58">
        <v>0</v>
      </c>
      <c r="AH544" s="55">
        <v>0</v>
      </c>
      <c r="AI544" s="59">
        <v>0</v>
      </c>
      <c r="AJ544" s="58">
        <v>0</v>
      </c>
      <c r="AK544" s="55">
        <v>0</v>
      </c>
      <c r="AL544" s="59">
        <v>0</v>
      </c>
    </row>
    <row r="545" spans="2:38" s="47" customFormat="1" ht="12.75">
      <c r="B545" s="6" t="s">
        <v>344</v>
      </c>
      <c r="C545" s="58">
        <v>0</v>
      </c>
      <c r="D545" s="55">
        <v>0</v>
      </c>
      <c r="E545" s="59">
        <v>0</v>
      </c>
      <c r="F545" s="58">
        <v>0</v>
      </c>
      <c r="G545" s="55">
        <v>0</v>
      </c>
      <c r="H545" s="59">
        <v>0</v>
      </c>
      <c r="I545" s="58">
        <v>0</v>
      </c>
      <c r="J545" s="55">
        <v>0</v>
      </c>
      <c r="K545" s="59">
        <v>0</v>
      </c>
      <c r="L545" s="58">
        <v>0</v>
      </c>
      <c r="M545" s="55">
        <v>0</v>
      </c>
      <c r="N545" s="59">
        <v>0</v>
      </c>
      <c r="O545" s="58">
        <v>0</v>
      </c>
      <c r="P545" s="55">
        <v>0</v>
      </c>
      <c r="Q545" s="59">
        <v>0</v>
      </c>
      <c r="R545" s="58">
        <v>0</v>
      </c>
      <c r="S545" s="55">
        <v>0</v>
      </c>
      <c r="T545" s="59">
        <v>0</v>
      </c>
      <c r="U545" s="58">
        <v>1</v>
      </c>
      <c r="V545" s="55">
        <v>0</v>
      </c>
      <c r="W545" s="59">
        <v>0</v>
      </c>
      <c r="X545" s="58">
        <v>0</v>
      </c>
      <c r="Y545" s="55">
        <v>0</v>
      </c>
      <c r="Z545" s="59">
        <v>0</v>
      </c>
      <c r="AA545" s="58">
        <v>0</v>
      </c>
      <c r="AB545" s="55">
        <v>0</v>
      </c>
      <c r="AC545" s="59">
        <v>0</v>
      </c>
      <c r="AD545" s="58">
        <v>0</v>
      </c>
      <c r="AE545" s="55">
        <v>0</v>
      </c>
      <c r="AF545" s="59">
        <v>0</v>
      </c>
      <c r="AG545" s="58">
        <v>0</v>
      </c>
      <c r="AH545" s="55">
        <v>0</v>
      </c>
      <c r="AI545" s="59">
        <v>0</v>
      </c>
      <c r="AJ545" s="58">
        <v>0</v>
      </c>
      <c r="AK545" s="55">
        <v>0</v>
      </c>
      <c r="AL545" s="59">
        <v>0</v>
      </c>
    </row>
    <row r="546" spans="2:38" s="47" customFormat="1" ht="12.75">
      <c r="B546" s="6" t="s">
        <v>345</v>
      </c>
      <c r="C546" s="58">
        <v>3</v>
      </c>
      <c r="D546" s="55">
        <v>1</v>
      </c>
      <c r="E546" s="59">
        <v>34</v>
      </c>
      <c r="F546" s="58">
        <v>0</v>
      </c>
      <c r="G546" s="55">
        <v>0</v>
      </c>
      <c r="H546" s="59">
        <v>29</v>
      </c>
      <c r="I546" s="58">
        <v>0</v>
      </c>
      <c r="J546" s="55">
        <v>0</v>
      </c>
      <c r="K546" s="59">
        <v>20</v>
      </c>
      <c r="L546" s="58">
        <v>3</v>
      </c>
      <c r="M546" s="55">
        <v>0</v>
      </c>
      <c r="N546" s="59">
        <v>0</v>
      </c>
      <c r="O546" s="58">
        <v>0</v>
      </c>
      <c r="P546" s="55">
        <v>0</v>
      </c>
      <c r="Q546" s="59">
        <v>0</v>
      </c>
      <c r="R546" s="58">
        <v>1</v>
      </c>
      <c r="S546" s="55">
        <v>0</v>
      </c>
      <c r="T546" s="59">
        <v>0</v>
      </c>
      <c r="U546" s="58">
        <v>2</v>
      </c>
      <c r="V546" s="55">
        <v>0</v>
      </c>
      <c r="W546" s="59">
        <v>0</v>
      </c>
      <c r="X546" s="58">
        <v>2</v>
      </c>
      <c r="Y546" s="55">
        <v>0</v>
      </c>
      <c r="Z546" s="59">
        <v>0</v>
      </c>
      <c r="AA546" s="58">
        <v>2</v>
      </c>
      <c r="AB546" s="55">
        <v>0</v>
      </c>
      <c r="AC546" s="59">
        <v>0</v>
      </c>
      <c r="AD546" s="58">
        <v>0</v>
      </c>
      <c r="AE546" s="55">
        <v>0</v>
      </c>
      <c r="AF546" s="59">
        <v>0</v>
      </c>
      <c r="AG546" s="58">
        <v>0</v>
      </c>
      <c r="AH546" s="55">
        <v>0</v>
      </c>
      <c r="AI546" s="59">
        <v>0</v>
      </c>
      <c r="AJ546" s="58">
        <v>0</v>
      </c>
      <c r="AK546" s="55">
        <v>0</v>
      </c>
      <c r="AL546" s="59">
        <v>0</v>
      </c>
    </row>
    <row r="547" spans="2:38" s="47" customFormat="1" ht="12.75">
      <c r="B547" s="6" t="s">
        <v>346</v>
      </c>
      <c r="C547" s="58">
        <v>10</v>
      </c>
      <c r="D547" s="55">
        <v>5</v>
      </c>
      <c r="E547" s="59">
        <v>271</v>
      </c>
      <c r="F547" s="58">
        <v>4</v>
      </c>
      <c r="G547" s="55">
        <v>3</v>
      </c>
      <c r="H547" s="59">
        <v>257</v>
      </c>
      <c r="I547" s="58">
        <v>7</v>
      </c>
      <c r="J547" s="55">
        <v>3</v>
      </c>
      <c r="K547" s="59">
        <v>31</v>
      </c>
      <c r="L547" s="58">
        <v>9</v>
      </c>
      <c r="M547" s="55">
        <v>0</v>
      </c>
      <c r="N547" s="59">
        <v>0</v>
      </c>
      <c r="O547" s="58">
        <v>19</v>
      </c>
      <c r="P547" s="55">
        <v>0</v>
      </c>
      <c r="Q547" s="59">
        <v>0</v>
      </c>
      <c r="R547" s="58">
        <v>13</v>
      </c>
      <c r="S547" s="55">
        <v>0</v>
      </c>
      <c r="T547" s="59">
        <v>0</v>
      </c>
      <c r="U547" s="58">
        <v>18</v>
      </c>
      <c r="V547" s="55">
        <v>0</v>
      </c>
      <c r="W547" s="59">
        <v>0</v>
      </c>
      <c r="X547" s="58">
        <v>8</v>
      </c>
      <c r="Y547" s="55">
        <v>0</v>
      </c>
      <c r="Z547" s="59">
        <v>0</v>
      </c>
      <c r="AA547" s="58">
        <v>6</v>
      </c>
      <c r="AB547" s="55">
        <v>0</v>
      </c>
      <c r="AC547" s="59">
        <v>0</v>
      </c>
      <c r="AD547" s="58">
        <v>10</v>
      </c>
      <c r="AE547" s="55">
        <v>0</v>
      </c>
      <c r="AF547" s="59">
        <v>0</v>
      </c>
      <c r="AG547" s="58">
        <v>13</v>
      </c>
      <c r="AH547" s="55">
        <v>0</v>
      </c>
      <c r="AI547" s="59">
        <v>0</v>
      </c>
      <c r="AJ547" s="58">
        <v>13</v>
      </c>
      <c r="AK547" s="55">
        <v>0</v>
      </c>
      <c r="AL547" s="59">
        <v>0</v>
      </c>
    </row>
    <row r="548" spans="2:38" s="47" customFormat="1" ht="12.75">
      <c r="B548" s="6" t="s">
        <v>347</v>
      </c>
      <c r="C548" s="58">
        <v>0</v>
      </c>
      <c r="D548" s="55">
        <v>0</v>
      </c>
      <c r="E548" s="59">
        <v>1</v>
      </c>
      <c r="F548" s="58">
        <v>0</v>
      </c>
      <c r="G548" s="55">
        <v>0</v>
      </c>
      <c r="H548" s="59">
        <v>6</v>
      </c>
      <c r="I548" s="58">
        <v>0</v>
      </c>
      <c r="J548" s="55">
        <v>0</v>
      </c>
      <c r="K548" s="59">
        <v>8</v>
      </c>
      <c r="L548" s="58">
        <v>0</v>
      </c>
      <c r="M548" s="55">
        <v>0</v>
      </c>
      <c r="N548" s="59">
        <v>0</v>
      </c>
      <c r="O548" s="58">
        <v>0</v>
      </c>
      <c r="P548" s="55">
        <v>0</v>
      </c>
      <c r="Q548" s="59">
        <v>0</v>
      </c>
      <c r="R548" s="58">
        <v>0</v>
      </c>
      <c r="S548" s="55">
        <v>0</v>
      </c>
      <c r="T548" s="59">
        <v>0</v>
      </c>
      <c r="U548" s="58">
        <v>0</v>
      </c>
      <c r="V548" s="55">
        <v>0</v>
      </c>
      <c r="W548" s="59">
        <v>0</v>
      </c>
      <c r="X548" s="58">
        <v>0</v>
      </c>
      <c r="Y548" s="55">
        <v>0</v>
      </c>
      <c r="Z548" s="59">
        <v>0</v>
      </c>
      <c r="AA548" s="58">
        <v>0</v>
      </c>
      <c r="AB548" s="55">
        <v>0</v>
      </c>
      <c r="AC548" s="59">
        <v>0</v>
      </c>
      <c r="AD548" s="58">
        <v>0</v>
      </c>
      <c r="AE548" s="55">
        <v>0</v>
      </c>
      <c r="AF548" s="59">
        <v>0</v>
      </c>
      <c r="AG548" s="58">
        <v>0</v>
      </c>
      <c r="AH548" s="55">
        <v>0</v>
      </c>
      <c r="AI548" s="59">
        <v>0</v>
      </c>
      <c r="AJ548" s="58">
        <v>0</v>
      </c>
      <c r="AK548" s="55">
        <v>0</v>
      </c>
      <c r="AL548" s="59">
        <v>0</v>
      </c>
    </row>
    <row r="549" spans="2:38" s="47" customFormat="1" ht="12.75">
      <c r="B549" s="6" t="s">
        <v>348</v>
      </c>
      <c r="C549" s="58">
        <v>0</v>
      </c>
      <c r="D549" s="55">
        <v>0</v>
      </c>
      <c r="E549" s="59">
        <v>0</v>
      </c>
      <c r="F549" s="58">
        <v>0</v>
      </c>
      <c r="G549" s="55">
        <v>0</v>
      </c>
      <c r="H549" s="59">
        <v>0</v>
      </c>
      <c r="I549" s="58">
        <v>0</v>
      </c>
      <c r="J549" s="55">
        <v>0</v>
      </c>
      <c r="K549" s="59">
        <v>0</v>
      </c>
      <c r="L549" s="58">
        <v>0</v>
      </c>
      <c r="M549" s="55">
        <v>0</v>
      </c>
      <c r="N549" s="59">
        <v>0</v>
      </c>
      <c r="O549" s="58">
        <v>0</v>
      </c>
      <c r="P549" s="55">
        <v>0</v>
      </c>
      <c r="Q549" s="59">
        <v>0</v>
      </c>
      <c r="R549" s="58">
        <v>0</v>
      </c>
      <c r="S549" s="55">
        <v>0</v>
      </c>
      <c r="T549" s="59">
        <v>0</v>
      </c>
      <c r="U549" s="58">
        <v>0</v>
      </c>
      <c r="V549" s="55">
        <v>0</v>
      </c>
      <c r="W549" s="59">
        <v>0</v>
      </c>
      <c r="X549" s="58">
        <v>0</v>
      </c>
      <c r="Y549" s="55">
        <v>0</v>
      </c>
      <c r="Z549" s="59">
        <v>0</v>
      </c>
      <c r="AA549" s="58">
        <v>0</v>
      </c>
      <c r="AB549" s="55">
        <v>0</v>
      </c>
      <c r="AC549" s="59">
        <v>0</v>
      </c>
      <c r="AD549" s="58">
        <v>0</v>
      </c>
      <c r="AE549" s="55">
        <v>0</v>
      </c>
      <c r="AF549" s="59">
        <v>0</v>
      </c>
      <c r="AG549" s="58">
        <v>0</v>
      </c>
      <c r="AH549" s="55">
        <v>0</v>
      </c>
      <c r="AI549" s="59">
        <v>0</v>
      </c>
      <c r="AJ549" s="58">
        <v>0</v>
      </c>
      <c r="AK549" s="55">
        <v>0</v>
      </c>
      <c r="AL549" s="59">
        <v>0</v>
      </c>
    </row>
    <row r="550" spans="2:38" s="47" customFormat="1" ht="12.75">
      <c r="B550" s="6" t="s">
        <v>349</v>
      </c>
      <c r="C550" s="58">
        <v>1</v>
      </c>
      <c r="D550" s="55">
        <v>1</v>
      </c>
      <c r="E550" s="59">
        <v>1</v>
      </c>
      <c r="F550" s="58">
        <v>1</v>
      </c>
      <c r="G550" s="55">
        <v>1</v>
      </c>
      <c r="H550" s="59">
        <v>3</v>
      </c>
      <c r="I550" s="58">
        <v>0</v>
      </c>
      <c r="J550" s="55">
        <v>0</v>
      </c>
      <c r="K550" s="59">
        <v>6</v>
      </c>
      <c r="L550" s="58">
        <v>1</v>
      </c>
      <c r="M550" s="55">
        <v>0</v>
      </c>
      <c r="N550" s="59">
        <v>0</v>
      </c>
      <c r="O550" s="58">
        <v>0</v>
      </c>
      <c r="P550" s="55">
        <v>0</v>
      </c>
      <c r="Q550" s="59">
        <v>0</v>
      </c>
      <c r="R550" s="58">
        <v>0</v>
      </c>
      <c r="S550" s="55">
        <v>0</v>
      </c>
      <c r="T550" s="59">
        <v>0</v>
      </c>
      <c r="U550" s="58">
        <v>2</v>
      </c>
      <c r="V550" s="55">
        <v>0</v>
      </c>
      <c r="W550" s="59">
        <v>0</v>
      </c>
      <c r="X550" s="58">
        <v>0</v>
      </c>
      <c r="Y550" s="55">
        <v>0</v>
      </c>
      <c r="Z550" s="59">
        <v>0</v>
      </c>
      <c r="AA550" s="58">
        <v>0</v>
      </c>
      <c r="AB550" s="55">
        <v>0</v>
      </c>
      <c r="AC550" s="59">
        <v>0</v>
      </c>
      <c r="AD550" s="58">
        <v>0</v>
      </c>
      <c r="AE550" s="55">
        <v>0</v>
      </c>
      <c r="AF550" s="59">
        <v>0</v>
      </c>
      <c r="AG550" s="58">
        <v>0</v>
      </c>
      <c r="AH550" s="55">
        <v>0</v>
      </c>
      <c r="AI550" s="59">
        <v>0</v>
      </c>
      <c r="AJ550" s="58">
        <v>0</v>
      </c>
      <c r="AK550" s="55">
        <v>0</v>
      </c>
      <c r="AL550" s="59">
        <v>0</v>
      </c>
    </row>
    <row r="551" spans="2:38" s="47" customFormat="1" ht="12.75">
      <c r="B551" s="6" t="s">
        <v>350</v>
      </c>
      <c r="C551" s="58">
        <v>0</v>
      </c>
      <c r="D551" s="55">
        <v>0</v>
      </c>
      <c r="E551" s="59">
        <v>0</v>
      </c>
      <c r="F551" s="58">
        <v>0</v>
      </c>
      <c r="G551" s="55">
        <v>0</v>
      </c>
      <c r="H551" s="59">
        <v>0</v>
      </c>
      <c r="I551" s="58">
        <v>0</v>
      </c>
      <c r="J551" s="55">
        <v>0</v>
      </c>
      <c r="K551" s="59">
        <v>0</v>
      </c>
      <c r="L551" s="58">
        <v>0</v>
      </c>
      <c r="M551" s="55">
        <v>0</v>
      </c>
      <c r="N551" s="59">
        <v>0</v>
      </c>
      <c r="O551" s="58">
        <v>0</v>
      </c>
      <c r="P551" s="55">
        <v>0</v>
      </c>
      <c r="Q551" s="59">
        <v>0</v>
      </c>
      <c r="R551" s="58">
        <v>0</v>
      </c>
      <c r="S551" s="55">
        <v>0</v>
      </c>
      <c r="T551" s="59">
        <v>0</v>
      </c>
      <c r="U551" s="58">
        <v>0</v>
      </c>
      <c r="V551" s="55">
        <v>0</v>
      </c>
      <c r="W551" s="59">
        <v>0</v>
      </c>
      <c r="X551" s="58">
        <v>0</v>
      </c>
      <c r="Y551" s="55">
        <v>0</v>
      </c>
      <c r="Z551" s="59">
        <v>0</v>
      </c>
      <c r="AA551" s="58">
        <v>0</v>
      </c>
      <c r="AB551" s="55">
        <v>0</v>
      </c>
      <c r="AC551" s="59">
        <v>0</v>
      </c>
      <c r="AD551" s="58">
        <v>0</v>
      </c>
      <c r="AE551" s="55">
        <v>0</v>
      </c>
      <c r="AF551" s="59">
        <v>0</v>
      </c>
      <c r="AG551" s="58">
        <v>0</v>
      </c>
      <c r="AH551" s="55">
        <v>0</v>
      </c>
      <c r="AI551" s="59">
        <v>0</v>
      </c>
      <c r="AJ551" s="58">
        <v>0</v>
      </c>
      <c r="AK551" s="55">
        <v>0</v>
      </c>
      <c r="AL551" s="59">
        <v>0</v>
      </c>
    </row>
    <row r="552" spans="2:38" s="47" customFormat="1" ht="12.75">
      <c r="B552" s="6" t="s">
        <v>351</v>
      </c>
      <c r="C552" s="58">
        <v>0</v>
      </c>
      <c r="D552" s="55">
        <v>0</v>
      </c>
      <c r="E552" s="59">
        <v>0</v>
      </c>
      <c r="F552" s="58">
        <v>0</v>
      </c>
      <c r="G552" s="55">
        <v>0</v>
      </c>
      <c r="H552" s="59">
        <v>0</v>
      </c>
      <c r="I552" s="58">
        <v>0</v>
      </c>
      <c r="J552" s="55">
        <v>0</v>
      </c>
      <c r="K552" s="59">
        <v>0</v>
      </c>
      <c r="L552" s="58">
        <v>2</v>
      </c>
      <c r="M552" s="55">
        <v>0</v>
      </c>
      <c r="N552" s="59">
        <v>0</v>
      </c>
      <c r="O552" s="58">
        <v>3</v>
      </c>
      <c r="P552" s="55">
        <v>0</v>
      </c>
      <c r="Q552" s="59">
        <v>0</v>
      </c>
      <c r="R552" s="58">
        <v>0</v>
      </c>
      <c r="S552" s="55">
        <v>0</v>
      </c>
      <c r="T552" s="59">
        <v>0</v>
      </c>
      <c r="U552" s="58">
        <v>1</v>
      </c>
      <c r="V552" s="55">
        <v>0</v>
      </c>
      <c r="W552" s="59">
        <v>0</v>
      </c>
      <c r="X552" s="58">
        <v>0</v>
      </c>
      <c r="Y552" s="55">
        <v>0</v>
      </c>
      <c r="Z552" s="59">
        <v>0</v>
      </c>
      <c r="AA552" s="58">
        <v>0</v>
      </c>
      <c r="AB552" s="55">
        <v>0</v>
      </c>
      <c r="AC552" s="59">
        <v>0</v>
      </c>
      <c r="AD552" s="58">
        <v>1</v>
      </c>
      <c r="AE552" s="55">
        <v>0</v>
      </c>
      <c r="AF552" s="59">
        <v>0</v>
      </c>
      <c r="AG552" s="58">
        <v>0</v>
      </c>
      <c r="AH552" s="55">
        <v>0</v>
      </c>
      <c r="AI552" s="59">
        <v>0</v>
      </c>
      <c r="AJ552" s="58">
        <v>0</v>
      </c>
      <c r="AK552" s="55">
        <v>0</v>
      </c>
      <c r="AL552" s="59">
        <v>0</v>
      </c>
    </row>
    <row r="553" spans="2:38" s="47" customFormat="1" ht="13.5" thickBot="1">
      <c r="B553" s="7" t="s">
        <v>352</v>
      </c>
      <c r="C553" s="81">
        <v>1</v>
      </c>
      <c r="D553" s="70">
        <v>0</v>
      </c>
      <c r="E553" s="82">
        <v>71</v>
      </c>
      <c r="F553" s="81">
        <v>0</v>
      </c>
      <c r="G553" s="70">
        <v>0</v>
      </c>
      <c r="H553" s="82">
        <v>95</v>
      </c>
      <c r="I553" s="81">
        <v>0</v>
      </c>
      <c r="J553" s="70">
        <v>0</v>
      </c>
      <c r="K553" s="82">
        <v>45</v>
      </c>
      <c r="L553" s="81">
        <v>3</v>
      </c>
      <c r="M553" s="70">
        <v>0</v>
      </c>
      <c r="N553" s="82">
        <v>48</v>
      </c>
      <c r="O553" s="81">
        <v>3</v>
      </c>
      <c r="P553" s="70">
        <v>0</v>
      </c>
      <c r="Q553" s="82">
        <v>0</v>
      </c>
      <c r="R553" s="81">
        <v>1</v>
      </c>
      <c r="S553" s="70">
        <v>0</v>
      </c>
      <c r="T553" s="82">
        <v>0</v>
      </c>
      <c r="U553" s="81">
        <v>1</v>
      </c>
      <c r="V553" s="70">
        <v>0</v>
      </c>
      <c r="W553" s="82">
        <v>0</v>
      </c>
      <c r="X553" s="81">
        <v>0</v>
      </c>
      <c r="Y553" s="70">
        <v>0</v>
      </c>
      <c r="Z553" s="82">
        <v>0</v>
      </c>
      <c r="AA553" s="81">
        <v>0</v>
      </c>
      <c r="AB553" s="70">
        <v>0</v>
      </c>
      <c r="AC553" s="82">
        <v>0</v>
      </c>
      <c r="AD553" s="81">
        <v>0</v>
      </c>
      <c r="AE553" s="70">
        <v>0</v>
      </c>
      <c r="AF553" s="82">
        <v>0</v>
      </c>
      <c r="AG553" s="81">
        <v>0</v>
      </c>
      <c r="AH553" s="70">
        <v>0</v>
      </c>
      <c r="AI553" s="82">
        <v>0</v>
      </c>
      <c r="AJ553" s="81">
        <v>0</v>
      </c>
      <c r="AK553" s="70">
        <v>0</v>
      </c>
      <c r="AL553" s="82">
        <v>0</v>
      </c>
    </row>
    <row r="554" spans="2:38" s="47" customFormat="1" ht="13.5" thickBot="1">
      <c r="B554" s="83" t="s">
        <v>0</v>
      </c>
      <c r="C554" s="44">
        <f aca="true" t="shared" si="39" ref="C554:AL554">SUM(C533:C553)</f>
        <v>17</v>
      </c>
      <c r="D554" s="51">
        <f t="shared" si="39"/>
        <v>8</v>
      </c>
      <c r="E554" s="52">
        <f t="shared" si="39"/>
        <v>636</v>
      </c>
      <c r="F554" s="109">
        <f t="shared" si="39"/>
        <v>8</v>
      </c>
      <c r="G554" s="51">
        <f t="shared" si="39"/>
        <v>10</v>
      </c>
      <c r="H554" s="93">
        <f t="shared" si="39"/>
        <v>542</v>
      </c>
      <c r="I554" s="245">
        <f t="shared" si="39"/>
        <v>11</v>
      </c>
      <c r="J554" s="51">
        <f t="shared" si="39"/>
        <v>3</v>
      </c>
      <c r="K554" s="93">
        <f t="shared" si="39"/>
        <v>214</v>
      </c>
      <c r="L554" s="245">
        <f t="shared" si="39"/>
        <v>24</v>
      </c>
      <c r="M554" s="51">
        <f t="shared" si="39"/>
        <v>0</v>
      </c>
      <c r="N554" s="93">
        <f t="shared" si="39"/>
        <v>48</v>
      </c>
      <c r="O554" s="245">
        <f t="shared" si="39"/>
        <v>27</v>
      </c>
      <c r="P554" s="51">
        <f t="shared" si="39"/>
        <v>0</v>
      </c>
      <c r="Q554" s="93">
        <f t="shared" si="39"/>
        <v>0</v>
      </c>
      <c r="R554" s="245">
        <f t="shared" si="39"/>
        <v>21</v>
      </c>
      <c r="S554" s="51">
        <f t="shared" si="39"/>
        <v>0</v>
      </c>
      <c r="T554" s="93">
        <f t="shared" si="39"/>
        <v>1</v>
      </c>
      <c r="U554" s="245">
        <f t="shared" si="39"/>
        <v>33</v>
      </c>
      <c r="V554" s="51">
        <f t="shared" si="39"/>
        <v>0</v>
      </c>
      <c r="W554" s="93">
        <f t="shared" si="39"/>
        <v>5</v>
      </c>
      <c r="X554" s="245">
        <f t="shared" si="39"/>
        <v>18</v>
      </c>
      <c r="Y554" s="51">
        <f t="shared" si="39"/>
        <v>0</v>
      </c>
      <c r="Z554" s="93">
        <f t="shared" si="39"/>
        <v>0</v>
      </c>
      <c r="AA554" s="245">
        <f t="shared" si="39"/>
        <v>14</v>
      </c>
      <c r="AB554" s="51">
        <f t="shared" si="39"/>
        <v>0</v>
      </c>
      <c r="AC554" s="93">
        <f t="shared" si="39"/>
        <v>4</v>
      </c>
      <c r="AD554" s="245">
        <f t="shared" si="39"/>
        <v>14</v>
      </c>
      <c r="AE554" s="51">
        <f t="shared" si="39"/>
        <v>0</v>
      </c>
      <c r="AF554" s="93">
        <f t="shared" si="39"/>
        <v>0</v>
      </c>
      <c r="AG554" s="245">
        <f t="shared" si="39"/>
        <v>14</v>
      </c>
      <c r="AH554" s="51">
        <f t="shared" si="39"/>
        <v>0</v>
      </c>
      <c r="AI554" s="93">
        <f t="shared" si="39"/>
        <v>2</v>
      </c>
      <c r="AJ554" s="245">
        <f t="shared" si="39"/>
        <v>14</v>
      </c>
      <c r="AK554" s="51">
        <f t="shared" si="39"/>
        <v>0</v>
      </c>
      <c r="AL554" s="93">
        <f t="shared" si="39"/>
        <v>4</v>
      </c>
    </row>
    <row r="555" s="47" customFormat="1" ht="12.75"/>
    <row r="556" s="47" customFormat="1" ht="12.75">
      <c r="B556" s="47" t="s">
        <v>427</v>
      </c>
    </row>
    <row r="557" spans="2:5" s="47" customFormat="1" ht="12.75">
      <c r="B557" s="369"/>
      <c r="C557" s="369"/>
      <c r="D557" s="369"/>
      <c r="E557" s="369"/>
    </row>
    <row r="558" s="47" customFormat="1" ht="12.75"/>
    <row r="559" spans="2:5" s="47" customFormat="1" ht="12.75">
      <c r="B559" s="383" t="s">
        <v>93</v>
      </c>
      <c r="C559" s="383"/>
      <c r="D559" s="383"/>
      <c r="E559" s="383"/>
    </row>
    <row r="560" spans="2:5" s="47" customFormat="1" ht="12.75">
      <c r="B560" s="60"/>
      <c r="C560" s="60"/>
      <c r="D560" s="60"/>
      <c r="E560" s="60"/>
    </row>
    <row r="561" spans="2:5" s="47" customFormat="1" ht="12.75">
      <c r="B561" s="383" t="s">
        <v>41</v>
      </c>
      <c r="C561" s="383"/>
      <c r="D561" s="383"/>
      <c r="E561" s="383"/>
    </row>
    <row r="562" spans="2:5" s="47" customFormat="1" ht="12.75">
      <c r="B562" s="60"/>
      <c r="C562" s="60"/>
      <c r="D562" s="60"/>
      <c r="E562" s="60"/>
    </row>
    <row r="563" spans="2:5" s="47" customFormat="1" ht="12.75">
      <c r="B563" s="383" t="s">
        <v>86</v>
      </c>
      <c r="C563" s="383"/>
      <c r="D563" s="383"/>
      <c r="E563" s="383"/>
    </row>
    <row r="564" spans="2:5" s="47" customFormat="1" ht="12.75">
      <c r="B564" s="60"/>
      <c r="C564" s="60"/>
      <c r="D564" s="60"/>
      <c r="E564" s="60"/>
    </row>
    <row r="565" spans="2:5" s="47" customFormat="1" ht="12.75">
      <c r="B565" s="383">
        <v>2016</v>
      </c>
      <c r="C565" s="383"/>
      <c r="D565" s="383"/>
      <c r="E565" s="383"/>
    </row>
    <row r="566" spans="2:5" s="47" customFormat="1" ht="13.5" thickBot="1">
      <c r="B566" s="4"/>
      <c r="C566" s="4"/>
      <c r="D566" s="4"/>
      <c r="E566" s="4"/>
    </row>
    <row r="567" spans="2:38" s="47" customFormat="1" ht="13.5" customHeight="1" thickBot="1">
      <c r="B567" s="377" t="s">
        <v>394</v>
      </c>
      <c r="C567" s="374" t="s">
        <v>7</v>
      </c>
      <c r="D567" s="375"/>
      <c r="E567" s="376"/>
      <c r="F567" s="374" t="s">
        <v>433</v>
      </c>
      <c r="G567" s="375"/>
      <c r="H567" s="376"/>
      <c r="I567" s="374" t="s">
        <v>434</v>
      </c>
      <c r="J567" s="375"/>
      <c r="K567" s="376"/>
      <c r="L567" s="374" t="s">
        <v>435</v>
      </c>
      <c r="M567" s="375"/>
      <c r="N567" s="376"/>
      <c r="O567" s="374" t="s">
        <v>436</v>
      </c>
      <c r="P567" s="375"/>
      <c r="Q567" s="376"/>
      <c r="R567" s="374" t="s">
        <v>437</v>
      </c>
      <c r="S567" s="375"/>
      <c r="T567" s="376"/>
      <c r="U567" s="374" t="s">
        <v>438</v>
      </c>
      <c r="V567" s="375"/>
      <c r="W567" s="376"/>
      <c r="X567" s="374" t="s">
        <v>439</v>
      </c>
      <c r="Y567" s="375"/>
      <c r="Z567" s="376"/>
      <c r="AA567" s="374" t="s">
        <v>440</v>
      </c>
      <c r="AB567" s="375"/>
      <c r="AC567" s="376"/>
      <c r="AD567" s="374" t="s">
        <v>441</v>
      </c>
      <c r="AE567" s="375"/>
      <c r="AF567" s="376"/>
      <c r="AG567" s="374" t="s">
        <v>442</v>
      </c>
      <c r="AH567" s="375"/>
      <c r="AI567" s="376"/>
      <c r="AJ567" s="374" t="s">
        <v>443</v>
      </c>
      <c r="AK567" s="375"/>
      <c r="AL567" s="376"/>
    </row>
    <row r="568" spans="2:38" s="47" customFormat="1" ht="12.75" customHeight="1">
      <c r="B568" s="378"/>
      <c r="C568" s="367" t="s">
        <v>66</v>
      </c>
      <c r="D568" s="381" t="s">
        <v>67</v>
      </c>
      <c r="E568" s="371"/>
      <c r="F568" s="367" t="s">
        <v>66</v>
      </c>
      <c r="G568" s="381" t="s">
        <v>67</v>
      </c>
      <c r="H568" s="371"/>
      <c r="I568" s="367" t="s">
        <v>66</v>
      </c>
      <c r="J568" s="381" t="s">
        <v>67</v>
      </c>
      <c r="K568" s="371"/>
      <c r="L568" s="367" t="s">
        <v>66</v>
      </c>
      <c r="M568" s="381" t="s">
        <v>67</v>
      </c>
      <c r="N568" s="371"/>
      <c r="O568" s="367" t="s">
        <v>66</v>
      </c>
      <c r="P568" s="381" t="s">
        <v>67</v>
      </c>
      <c r="Q568" s="371"/>
      <c r="R568" s="367" t="s">
        <v>66</v>
      </c>
      <c r="S568" s="381" t="s">
        <v>67</v>
      </c>
      <c r="T568" s="371"/>
      <c r="U568" s="367" t="s">
        <v>66</v>
      </c>
      <c r="V568" s="381" t="s">
        <v>67</v>
      </c>
      <c r="W568" s="371"/>
      <c r="X568" s="367" t="s">
        <v>66</v>
      </c>
      <c r="Y568" s="381" t="s">
        <v>67</v>
      </c>
      <c r="Z568" s="371"/>
      <c r="AA568" s="367" t="s">
        <v>66</v>
      </c>
      <c r="AB568" s="381" t="s">
        <v>67</v>
      </c>
      <c r="AC568" s="371"/>
      <c r="AD568" s="367" t="s">
        <v>66</v>
      </c>
      <c r="AE568" s="381" t="s">
        <v>67</v>
      </c>
      <c r="AF568" s="371"/>
      <c r="AG568" s="367" t="s">
        <v>66</v>
      </c>
      <c r="AH568" s="381" t="s">
        <v>67</v>
      </c>
      <c r="AI568" s="371"/>
      <c r="AJ568" s="367" t="s">
        <v>66</v>
      </c>
      <c r="AK568" s="381" t="s">
        <v>67</v>
      </c>
      <c r="AL568" s="371"/>
    </row>
    <row r="569" spans="2:38" s="47" customFormat="1" ht="13.5" thickBot="1">
      <c r="B569" s="379"/>
      <c r="C569" s="368"/>
      <c r="D569" s="382"/>
      <c r="E569" s="373"/>
      <c r="F569" s="368"/>
      <c r="G569" s="382"/>
      <c r="H569" s="373"/>
      <c r="I569" s="368"/>
      <c r="J569" s="382"/>
      <c r="K569" s="373"/>
      <c r="L569" s="368"/>
      <c r="M569" s="382"/>
      <c r="N569" s="373"/>
      <c r="O569" s="368"/>
      <c r="P569" s="382"/>
      <c r="Q569" s="373"/>
      <c r="R569" s="368"/>
      <c r="S569" s="382"/>
      <c r="T569" s="373"/>
      <c r="U569" s="368"/>
      <c r="V569" s="382"/>
      <c r="W569" s="373"/>
      <c r="X569" s="368"/>
      <c r="Y569" s="382"/>
      <c r="Z569" s="373"/>
      <c r="AA569" s="368"/>
      <c r="AB569" s="382"/>
      <c r="AC569" s="373"/>
      <c r="AD569" s="368"/>
      <c r="AE569" s="382"/>
      <c r="AF569" s="373"/>
      <c r="AG569" s="368"/>
      <c r="AH569" s="382"/>
      <c r="AI569" s="373"/>
      <c r="AJ569" s="368"/>
      <c r="AK569" s="382"/>
      <c r="AL569" s="373"/>
    </row>
    <row r="570" spans="2:38" s="47" customFormat="1" ht="26.25" thickBot="1">
      <c r="B570" s="380"/>
      <c r="C570" s="96" t="s">
        <v>68</v>
      </c>
      <c r="D570" s="97" t="s">
        <v>69</v>
      </c>
      <c r="E570" s="112" t="s">
        <v>70</v>
      </c>
      <c r="F570" s="96" t="s">
        <v>68</v>
      </c>
      <c r="G570" s="97" t="s">
        <v>69</v>
      </c>
      <c r="H570" s="112" t="s">
        <v>70</v>
      </c>
      <c r="I570" s="96" t="s">
        <v>68</v>
      </c>
      <c r="J570" s="97" t="s">
        <v>69</v>
      </c>
      <c r="K570" s="112" t="s">
        <v>70</v>
      </c>
      <c r="L570" s="96" t="s">
        <v>68</v>
      </c>
      <c r="M570" s="97" t="s">
        <v>69</v>
      </c>
      <c r="N570" s="112" t="s">
        <v>70</v>
      </c>
      <c r="O570" s="96" t="s">
        <v>68</v>
      </c>
      <c r="P570" s="97" t="s">
        <v>69</v>
      </c>
      <c r="Q570" s="112" t="s">
        <v>70</v>
      </c>
      <c r="R570" s="96" t="s">
        <v>68</v>
      </c>
      <c r="S570" s="97" t="s">
        <v>69</v>
      </c>
      <c r="T570" s="112" t="s">
        <v>70</v>
      </c>
      <c r="U570" s="96" t="s">
        <v>68</v>
      </c>
      <c r="V570" s="97" t="s">
        <v>69</v>
      </c>
      <c r="W570" s="112" t="s">
        <v>70</v>
      </c>
      <c r="X570" s="96" t="s">
        <v>68</v>
      </c>
      <c r="Y570" s="97" t="s">
        <v>69</v>
      </c>
      <c r="Z570" s="112" t="s">
        <v>70</v>
      </c>
      <c r="AA570" s="96" t="s">
        <v>68</v>
      </c>
      <c r="AB570" s="97" t="s">
        <v>69</v>
      </c>
      <c r="AC570" s="112" t="s">
        <v>70</v>
      </c>
      <c r="AD570" s="96" t="s">
        <v>68</v>
      </c>
      <c r="AE570" s="97" t="s">
        <v>69</v>
      </c>
      <c r="AF570" s="112" t="s">
        <v>70</v>
      </c>
      <c r="AG570" s="96" t="s">
        <v>68</v>
      </c>
      <c r="AH570" s="97" t="s">
        <v>69</v>
      </c>
      <c r="AI570" s="112" t="s">
        <v>70</v>
      </c>
      <c r="AJ570" s="96" t="s">
        <v>68</v>
      </c>
      <c r="AK570" s="97" t="s">
        <v>69</v>
      </c>
      <c r="AL570" s="112" t="s">
        <v>70</v>
      </c>
    </row>
    <row r="571" spans="2:38" s="47" customFormat="1" ht="12.75">
      <c r="B571" s="5" t="s">
        <v>353</v>
      </c>
      <c r="C571" s="76">
        <v>0</v>
      </c>
      <c r="D571" s="65">
        <v>0</v>
      </c>
      <c r="E571" s="77">
        <v>10</v>
      </c>
      <c r="F571" s="76">
        <v>0</v>
      </c>
      <c r="G571" s="65">
        <v>0</v>
      </c>
      <c r="H571" s="77">
        <v>9</v>
      </c>
      <c r="I571" s="76">
        <v>0</v>
      </c>
      <c r="J571" s="65">
        <v>0</v>
      </c>
      <c r="K571" s="77">
        <v>15</v>
      </c>
      <c r="L571" s="76">
        <v>0</v>
      </c>
      <c r="M571" s="65">
        <v>0</v>
      </c>
      <c r="N571" s="77">
        <v>0</v>
      </c>
      <c r="O571" s="76">
        <v>0</v>
      </c>
      <c r="P571" s="65">
        <v>0</v>
      </c>
      <c r="Q571" s="77">
        <v>0</v>
      </c>
      <c r="R571" s="76">
        <v>0</v>
      </c>
      <c r="S571" s="65">
        <v>0</v>
      </c>
      <c r="T571" s="77">
        <v>0</v>
      </c>
      <c r="U571" s="76">
        <v>0</v>
      </c>
      <c r="V571" s="65">
        <v>0</v>
      </c>
      <c r="W571" s="77">
        <v>0</v>
      </c>
      <c r="X571" s="76">
        <v>2</v>
      </c>
      <c r="Y571" s="65">
        <v>0</v>
      </c>
      <c r="Z571" s="77">
        <v>0</v>
      </c>
      <c r="AA571" s="76">
        <v>0</v>
      </c>
      <c r="AB571" s="65">
        <v>0</v>
      </c>
      <c r="AC571" s="77">
        <v>0</v>
      </c>
      <c r="AD571" s="76">
        <v>3</v>
      </c>
      <c r="AE571" s="65">
        <v>0</v>
      </c>
      <c r="AF571" s="77">
        <v>0</v>
      </c>
      <c r="AG571" s="76">
        <v>1</v>
      </c>
      <c r="AH571" s="65">
        <v>0</v>
      </c>
      <c r="AI571" s="77">
        <v>0</v>
      </c>
      <c r="AJ571" s="76">
        <v>0</v>
      </c>
      <c r="AK571" s="65">
        <v>0</v>
      </c>
      <c r="AL571" s="77">
        <v>0</v>
      </c>
    </row>
    <row r="572" spans="2:38" s="47" customFormat="1" ht="12.75">
      <c r="B572" s="6" t="s">
        <v>354</v>
      </c>
      <c r="C572" s="58">
        <v>3</v>
      </c>
      <c r="D572" s="55">
        <v>2</v>
      </c>
      <c r="E572" s="59">
        <v>275</v>
      </c>
      <c r="F572" s="58">
        <v>0</v>
      </c>
      <c r="G572" s="55">
        <v>0</v>
      </c>
      <c r="H572" s="59">
        <v>147</v>
      </c>
      <c r="I572" s="58">
        <v>1</v>
      </c>
      <c r="J572" s="55">
        <v>1</v>
      </c>
      <c r="K572" s="59">
        <v>105</v>
      </c>
      <c r="L572" s="58">
        <v>0</v>
      </c>
      <c r="M572" s="55">
        <v>0</v>
      </c>
      <c r="N572" s="59">
        <v>60</v>
      </c>
      <c r="O572" s="58">
        <v>1</v>
      </c>
      <c r="P572" s="55">
        <v>0</v>
      </c>
      <c r="Q572" s="59">
        <v>0</v>
      </c>
      <c r="R572" s="58">
        <v>0</v>
      </c>
      <c r="S572" s="55">
        <v>0</v>
      </c>
      <c r="T572" s="59">
        <v>0</v>
      </c>
      <c r="U572" s="58">
        <v>1</v>
      </c>
      <c r="V572" s="55">
        <v>0</v>
      </c>
      <c r="W572" s="59">
        <v>0</v>
      </c>
      <c r="X572" s="58">
        <v>1</v>
      </c>
      <c r="Y572" s="55">
        <v>0</v>
      </c>
      <c r="Z572" s="59">
        <v>0</v>
      </c>
      <c r="AA572" s="58">
        <v>1</v>
      </c>
      <c r="AB572" s="55">
        <v>0</v>
      </c>
      <c r="AC572" s="59">
        <v>0</v>
      </c>
      <c r="AD572" s="58">
        <v>1</v>
      </c>
      <c r="AE572" s="55">
        <v>0</v>
      </c>
      <c r="AF572" s="59">
        <v>0</v>
      </c>
      <c r="AG572" s="58">
        <v>1</v>
      </c>
      <c r="AH572" s="55">
        <v>0</v>
      </c>
      <c r="AI572" s="59">
        <v>0</v>
      </c>
      <c r="AJ572" s="58">
        <v>0</v>
      </c>
      <c r="AK572" s="55">
        <v>0</v>
      </c>
      <c r="AL572" s="59">
        <v>0</v>
      </c>
    </row>
    <row r="573" spans="2:38" s="47" customFormat="1" ht="12.75">
      <c r="B573" s="6" t="s">
        <v>355</v>
      </c>
      <c r="C573" s="58">
        <v>0</v>
      </c>
      <c r="D573" s="55">
        <v>0</v>
      </c>
      <c r="E573" s="59">
        <v>0</v>
      </c>
      <c r="F573" s="58">
        <v>0</v>
      </c>
      <c r="G573" s="55">
        <v>0</v>
      </c>
      <c r="H573" s="59">
        <v>0</v>
      </c>
      <c r="I573" s="58">
        <v>0</v>
      </c>
      <c r="J573" s="55">
        <v>0</v>
      </c>
      <c r="K573" s="59">
        <v>0</v>
      </c>
      <c r="L573" s="58">
        <v>1</v>
      </c>
      <c r="M573" s="55">
        <v>0</v>
      </c>
      <c r="N573" s="59">
        <v>0</v>
      </c>
      <c r="O573" s="58">
        <v>0</v>
      </c>
      <c r="P573" s="55">
        <v>0</v>
      </c>
      <c r="Q573" s="59">
        <v>0</v>
      </c>
      <c r="R573" s="58">
        <v>0</v>
      </c>
      <c r="S573" s="55">
        <v>0</v>
      </c>
      <c r="T573" s="59">
        <v>0</v>
      </c>
      <c r="U573" s="58">
        <v>1</v>
      </c>
      <c r="V573" s="55">
        <v>0</v>
      </c>
      <c r="W573" s="59">
        <v>0</v>
      </c>
      <c r="X573" s="58">
        <v>0</v>
      </c>
      <c r="Y573" s="55">
        <v>0</v>
      </c>
      <c r="Z573" s="59">
        <v>0</v>
      </c>
      <c r="AA573" s="58">
        <v>1</v>
      </c>
      <c r="AB573" s="55">
        <v>0</v>
      </c>
      <c r="AC573" s="59">
        <v>0</v>
      </c>
      <c r="AD573" s="58">
        <v>0</v>
      </c>
      <c r="AE573" s="55">
        <v>0</v>
      </c>
      <c r="AF573" s="59">
        <v>0</v>
      </c>
      <c r="AG573" s="58">
        <v>0</v>
      </c>
      <c r="AH573" s="55">
        <v>0</v>
      </c>
      <c r="AI573" s="59">
        <v>0</v>
      </c>
      <c r="AJ573" s="58">
        <v>0</v>
      </c>
      <c r="AK573" s="55">
        <v>0</v>
      </c>
      <c r="AL573" s="59">
        <v>0</v>
      </c>
    </row>
    <row r="574" spans="2:38" s="47" customFormat="1" ht="12.75">
      <c r="B574" s="6" t="s">
        <v>356</v>
      </c>
      <c r="C574" s="58">
        <v>3</v>
      </c>
      <c r="D574" s="55">
        <v>2</v>
      </c>
      <c r="E574" s="59">
        <v>26</v>
      </c>
      <c r="F574" s="58">
        <v>4</v>
      </c>
      <c r="G574" s="55">
        <v>3</v>
      </c>
      <c r="H574" s="59">
        <v>24</v>
      </c>
      <c r="I574" s="58">
        <v>0</v>
      </c>
      <c r="J574" s="55">
        <v>0</v>
      </c>
      <c r="K574" s="59">
        <v>20</v>
      </c>
      <c r="L574" s="58">
        <v>0</v>
      </c>
      <c r="M574" s="55">
        <v>0</v>
      </c>
      <c r="N574" s="59">
        <v>0</v>
      </c>
      <c r="O574" s="58">
        <v>2</v>
      </c>
      <c r="P574" s="55">
        <v>0</v>
      </c>
      <c r="Q574" s="59">
        <v>0</v>
      </c>
      <c r="R574" s="58">
        <v>3</v>
      </c>
      <c r="S574" s="55">
        <v>0</v>
      </c>
      <c r="T574" s="59">
        <v>0</v>
      </c>
      <c r="U574" s="58">
        <v>1</v>
      </c>
      <c r="V574" s="55">
        <v>0</v>
      </c>
      <c r="W574" s="59">
        <v>0</v>
      </c>
      <c r="X574" s="58">
        <v>1</v>
      </c>
      <c r="Y574" s="55">
        <v>0</v>
      </c>
      <c r="Z574" s="59">
        <v>0</v>
      </c>
      <c r="AA574" s="58">
        <v>1</v>
      </c>
      <c r="AB574" s="55">
        <v>0</v>
      </c>
      <c r="AC574" s="59">
        <v>0</v>
      </c>
      <c r="AD574" s="58">
        <v>2</v>
      </c>
      <c r="AE574" s="55">
        <v>0</v>
      </c>
      <c r="AF574" s="59">
        <v>0</v>
      </c>
      <c r="AG574" s="58">
        <v>8</v>
      </c>
      <c r="AH574" s="55">
        <v>0</v>
      </c>
      <c r="AI574" s="59">
        <v>0</v>
      </c>
      <c r="AJ574" s="58">
        <v>2</v>
      </c>
      <c r="AK574" s="55">
        <v>0</v>
      </c>
      <c r="AL574" s="59">
        <v>0</v>
      </c>
    </row>
    <row r="575" spans="2:38" s="47" customFormat="1" ht="12.75">
      <c r="B575" s="6" t="s">
        <v>357</v>
      </c>
      <c r="C575" s="58">
        <v>0</v>
      </c>
      <c r="D575" s="55">
        <v>0</v>
      </c>
      <c r="E575" s="59">
        <v>0</v>
      </c>
      <c r="F575" s="58">
        <v>0</v>
      </c>
      <c r="G575" s="55">
        <v>0</v>
      </c>
      <c r="H575" s="59">
        <v>0</v>
      </c>
      <c r="I575" s="58">
        <v>0</v>
      </c>
      <c r="J575" s="55">
        <v>0</v>
      </c>
      <c r="K575" s="59">
        <v>0</v>
      </c>
      <c r="L575" s="58">
        <v>0</v>
      </c>
      <c r="M575" s="55">
        <v>0</v>
      </c>
      <c r="N575" s="59">
        <v>0</v>
      </c>
      <c r="O575" s="58">
        <v>1</v>
      </c>
      <c r="P575" s="55">
        <v>0</v>
      </c>
      <c r="Q575" s="59">
        <v>0</v>
      </c>
      <c r="R575" s="58">
        <v>1</v>
      </c>
      <c r="S575" s="55">
        <v>0</v>
      </c>
      <c r="T575" s="59">
        <v>0</v>
      </c>
      <c r="U575" s="58">
        <v>0</v>
      </c>
      <c r="V575" s="55">
        <v>0</v>
      </c>
      <c r="W575" s="59">
        <v>0</v>
      </c>
      <c r="X575" s="58">
        <v>0</v>
      </c>
      <c r="Y575" s="55">
        <v>0</v>
      </c>
      <c r="Z575" s="59">
        <v>0</v>
      </c>
      <c r="AA575" s="58">
        <v>2</v>
      </c>
      <c r="AB575" s="55">
        <v>0</v>
      </c>
      <c r="AC575" s="59">
        <v>0</v>
      </c>
      <c r="AD575" s="58">
        <v>0</v>
      </c>
      <c r="AE575" s="55">
        <v>0</v>
      </c>
      <c r="AF575" s="59">
        <v>0</v>
      </c>
      <c r="AG575" s="58">
        <v>0</v>
      </c>
      <c r="AH575" s="55">
        <v>0</v>
      </c>
      <c r="AI575" s="59">
        <v>0</v>
      </c>
      <c r="AJ575" s="58">
        <v>0</v>
      </c>
      <c r="AK575" s="55">
        <v>0</v>
      </c>
      <c r="AL575" s="59">
        <v>0</v>
      </c>
    </row>
    <row r="576" spans="2:38" s="47" customFormat="1" ht="12.75">
      <c r="B576" s="6" t="s">
        <v>358</v>
      </c>
      <c r="C576" s="58">
        <v>0</v>
      </c>
      <c r="D576" s="55">
        <v>0</v>
      </c>
      <c r="E576" s="59">
        <v>0</v>
      </c>
      <c r="F576" s="58">
        <v>0</v>
      </c>
      <c r="G576" s="55">
        <v>0</v>
      </c>
      <c r="H576" s="59">
        <v>0</v>
      </c>
      <c r="I576" s="58">
        <v>0</v>
      </c>
      <c r="J576" s="55">
        <v>0</v>
      </c>
      <c r="K576" s="59">
        <v>0</v>
      </c>
      <c r="L576" s="58">
        <v>6</v>
      </c>
      <c r="M576" s="55">
        <v>0</v>
      </c>
      <c r="N576" s="59">
        <v>0</v>
      </c>
      <c r="O576" s="58">
        <v>4</v>
      </c>
      <c r="P576" s="55">
        <v>0</v>
      </c>
      <c r="Q576" s="59">
        <v>0</v>
      </c>
      <c r="R576" s="58">
        <v>0</v>
      </c>
      <c r="S576" s="55">
        <v>0</v>
      </c>
      <c r="T576" s="59">
        <v>0</v>
      </c>
      <c r="U576" s="58">
        <v>4</v>
      </c>
      <c r="V576" s="55">
        <v>0</v>
      </c>
      <c r="W576" s="59">
        <v>0</v>
      </c>
      <c r="X576" s="58">
        <v>1</v>
      </c>
      <c r="Y576" s="55">
        <v>0</v>
      </c>
      <c r="Z576" s="59">
        <v>0</v>
      </c>
      <c r="AA576" s="58">
        <v>3</v>
      </c>
      <c r="AB576" s="55">
        <v>0</v>
      </c>
      <c r="AC576" s="59">
        <v>0</v>
      </c>
      <c r="AD576" s="58">
        <v>9</v>
      </c>
      <c r="AE576" s="55">
        <v>0</v>
      </c>
      <c r="AF576" s="59">
        <v>0</v>
      </c>
      <c r="AG576" s="58">
        <v>4</v>
      </c>
      <c r="AH576" s="55">
        <v>0</v>
      </c>
      <c r="AI576" s="59">
        <v>0</v>
      </c>
      <c r="AJ576" s="58">
        <v>3</v>
      </c>
      <c r="AK576" s="55">
        <v>0</v>
      </c>
      <c r="AL576" s="59">
        <v>0</v>
      </c>
    </row>
    <row r="577" spans="2:38" s="47" customFormat="1" ht="12.75">
      <c r="B577" s="6" t="s">
        <v>359</v>
      </c>
      <c r="C577" s="58">
        <v>0</v>
      </c>
      <c r="D577" s="55">
        <v>0</v>
      </c>
      <c r="E577" s="59">
        <v>2</v>
      </c>
      <c r="F577" s="58">
        <v>0</v>
      </c>
      <c r="G577" s="55">
        <v>0</v>
      </c>
      <c r="H577" s="59">
        <v>1</v>
      </c>
      <c r="I577" s="58">
        <v>0</v>
      </c>
      <c r="J577" s="55">
        <v>0</v>
      </c>
      <c r="K577" s="59">
        <v>5</v>
      </c>
      <c r="L577" s="58">
        <v>0</v>
      </c>
      <c r="M577" s="55">
        <v>0</v>
      </c>
      <c r="N577" s="59">
        <v>3</v>
      </c>
      <c r="O577" s="58">
        <v>1</v>
      </c>
      <c r="P577" s="55">
        <v>0</v>
      </c>
      <c r="Q577" s="59">
        <v>3</v>
      </c>
      <c r="R577" s="58">
        <v>0</v>
      </c>
      <c r="S577" s="55">
        <v>0</v>
      </c>
      <c r="T577" s="59">
        <v>8</v>
      </c>
      <c r="U577" s="58">
        <v>1</v>
      </c>
      <c r="V577" s="55">
        <v>0</v>
      </c>
      <c r="W577" s="59">
        <v>2</v>
      </c>
      <c r="X577" s="58">
        <v>0</v>
      </c>
      <c r="Y577" s="55">
        <v>0</v>
      </c>
      <c r="Z577" s="59">
        <v>2</v>
      </c>
      <c r="AA577" s="58">
        <v>0</v>
      </c>
      <c r="AB577" s="55">
        <v>0</v>
      </c>
      <c r="AC577" s="59">
        <v>2</v>
      </c>
      <c r="AD577" s="58">
        <v>0</v>
      </c>
      <c r="AE577" s="55">
        <v>0</v>
      </c>
      <c r="AF577" s="59">
        <v>0</v>
      </c>
      <c r="AG577" s="58">
        <v>0</v>
      </c>
      <c r="AH577" s="55">
        <v>0</v>
      </c>
      <c r="AI577" s="59">
        <v>0</v>
      </c>
      <c r="AJ577" s="58">
        <v>0</v>
      </c>
      <c r="AK577" s="55">
        <v>0</v>
      </c>
      <c r="AL577" s="59">
        <v>7</v>
      </c>
    </row>
    <row r="578" spans="2:38" s="47" customFormat="1" ht="12.75">
      <c r="B578" s="6" t="s">
        <v>360</v>
      </c>
      <c r="C578" s="58">
        <v>1</v>
      </c>
      <c r="D578" s="55">
        <v>1</v>
      </c>
      <c r="E578" s="59">
        <v>19</v>
      </c>
      <c r="F578" s="58">
        <v>2</v>
      </c>
      <c r="G578" s="55">
        <v>1</v>
      </c>
      <c r="H578" s="59">
        <v>23</v>
      </c>
      <c r="I578" s="58">
        <v>0</v>
      </c>
      <c r="J578" s="55">
        <v>0</v>
      </c>
      <c r="K578" s="59">
        <v>20</v>
      </c>
      <c r="L578" s="58">
        <v>2</v>
      </c>
      <c r="M578" s="55">
        <v>0</v>
      </c>
      <c r="N578" s="59">
        <v>0</v>
      </c>
      <c r="O578" s="58">
        <v>0</v>
      </c>
      <c r="P578" s="55">
        <v>0</v>
      </c>
      <c r="Q578" s="59">
        <v>0</v>
      </c>
      <c r="R578" s="58">
        <v>1</v>
      </c>
      <c r="S578" s="55">
        <v>0</v>
      </c>
      <c r="T578" s="59">
        <v>0</v>
      </c>
      <c r="U578" s="58">
        <v>0</v>
      </c>
      <c r="V578" s="55">
        <v>0</v>
      </c>
      <c r="W578" s="59">
        <v>0</v>
      </c>
      <c r="X578" s="58">
        <v>0</v>
      </c>
      <c r="Y578" s="55">
        <v>0</v>
      </c>
      <c r="Z578" s="59">
        <v>0</v>
      </c>
      <c r="AA578" s="58">
        <v>2</v>
      </c>
      <c r="AB578" s="55">
        <v>0</v>
      </c>
      <c r="AC578" s="59">
        <v>0</v>
      </c>
      <c r="AD578" s="58">
        <v>0</v>
      </c>
      <c r="AE578" s="55">
        <v>0</v>
      </c>
      <c r="AF578" s="59">
        <v>0</v>
      </c>
      <c r="AG578" s="58">
        <v>2</v>
      </c>
      <c r="AH578" s="55">
        <v>0</v>
      </c>
      <c r="AI578" s="59">
        <v>0</v>
      </c>
      <c r="AJ578" s="58">
        <v>4</v>
      </c>
      <c r="AK578" s="55">
        <v>0</v>
      </c>
      <c r="AL578" s="59">
        <v>0</v>
      </c>
    </row>
    <row r="579" spans="2:38" s="47" customFormat="1" ht="13.5" thickBot="1">
      <c r="B579" s="7" t="s">
        <v>361</v>
      </c>
      <c r="C579" s="81">
        <v>0</v>
      </c>
      <c r="D579" s="70">
        <v>0</v>
      </c>
      <c r="E579" s="82">
        <v>4</v>
      </c>
      <c r="F579" s="81">
        <v>2</v>
      </c>
      <c r="G579" s="70">
        <v>1</v>
      </c>
      <c r="H579" s="82">
        <v>12</v>
      </c>
      <c r="I579" s="81">
        <v>1</v>
      </c>
      <c r="J579" s="70">
        <v>2</v>
      </c>
      <c r="K579" s="82">
        <v>3</v>
      </c>
      <c r="L579" s="81">
        <v>1</v>
      </c>
      <c r="M579" s="70">
        <v>0</v>
      </c>
      <c r="N579" s="82">
        <v>0</v>
      </c>
      <c r="O579" s="81">
        <v>0</v>
      </c>
      <c r="P579" s="70">
        <v>0</v>
      </c>
      <c r="Q579" s="82">
        <v>0</v>
      </c>
      <c r="R579" s="81">
        <v>0</v>
      </c>
      <c r="S579" s="70">
        <v>0</v>
      </c>
      <c r="T579" s="82">
        <v>0</v>
      </c>
      <c r="U579" s="81">
        <v>0</v>
      </c>
      <c r="V579" s="70">
        <v>0</v>
      </c>
      <c r="W579" s="82">
        <v>0</v>
      </c>
      <c r="X579" s="81">
        <v>0</v>
      </c>
      <c r="Y579" s="70">
        <v>0</v>
      </c>
      <c r="Z579" s="82">
        <v>0</v>
      </c>
      <c r="AA579" s="81">
        <v>0</v>
      </c>
      <c r="AB579" s="70">
        <v>0</v>
      </c>
      <c r="AC579" s="82">
        <v>0</v>
      </c>
      <c r="AD579" s="81">
        <v>2</v>
      </c>
      <c r="AE579" s="70">
        <v>0</v>
      </c>
      <c r="AF579" s="82">
        <v>0</v>
      </c>
      <c r="AG579" s="81">
        <v>2</v>
      </c>
      <c r="AH579" s="70">
        <v>0</v>
      </c>
      <c r="AI579" s="82">
        <v>0</v>
      </c>
      <c r="AJ579" s="81">
        <v>0</v>
      </c>
      <c r="AK579" s="70">
        <v>0</v>
      </c>
      <c r="AL579" s="82">
        <v>0</v>
      </c>
    </row>
    <row r="580" spans="2:38" s="47" customFormat="1" ht="13.5" thickBot="1">
      <c r="B580" s="83" t="s">
        <v>0</v>
      </c>
      <c r="C580" s="44">
        <f aca="true" t="shared" si="40" ref="C580:AL580">SUM(C571:C579)</f>
        <v>7</v>
      </c>
      <c r="D580" s="51">
        <f t="shared" si="40"/>
        <v>5</v>
      </c>
      <c r="E580" s="52">
        <f t="shared" si="40"/>
        <v>336</v>
      </c>
      <c r="F580" s="109">
        <f t="shared" si="40"/>
        <v>8</v>
      </c>
      <c r="G580" s="51">
        <f t="shared" si="40"/>
        <v>5</v>
      </c>
      <c r="H580" s="93">
        <f t="shared" si="40"/>
        <v>216</v>
      </c>
      <c r="I580" s="245">
        <f t="shared" si="40"/>
        <v>2</v>
      </c>
      <c r="J580" s="51">
        <f t="shared" si="40"/>
        <v>3</v>
      </c>
      <c r="K580" s="93">
        <f t="shared" si="40"/>
        <v>168</v>
      </c>
      <c r="L580" s="245">
        <f t="shared" si="40"/>
        <v>10</v>
      </c>
      <c r="M580" s="51">
        <f t="shared" si="40"/>
        <v>0</v>
      </c>
      <c r="N580" s="93">
        <f t="shared" si="40"/>
        <v>63</v>
      </c>
      <c r="O580" s="245">
        <f t="shared" si="40"/>
        <v>9</v>
      </c>
      <c r="P580" s="51">
        <f t="shared" si="40"/>
        <v>0</v>
      </c>
      <c r="Q580" s="93">
        <f t="shared" si="40"/>
        <v>3</v>
      </c>
      <c r="R580" s="245">
        <f t="shared" si="40"/>
        <v>5</v>
      </c>
      <c r="S580" s="51">
        <f t="shared" si="40"/>
        <v>0</v>
      </c>
      <c r="T580" s="93">
        <f t="shared" si="40"/>
        <v>8</v>
      </c>
      <c r="U580" s="245">
        <f t="shared" si="40"/>
        <v>8</v>
      </c>
      <c r="V580" s="51">
        <f t="shared" si="40"/>
        <v>0</v>
      </c>
      <c r="W580" s="93">
        <f t="shared" si="40"/>
        <v>2</v>
      </c>
      <c r="X580" s="245">
        <f t="shared" si="40"/>
        <v>5</v>
      </c>
      <c r="Y580" s="51">
        <f t="shared" si="40"/>
        <v>0</v>
      </c>
      <c r="Z580" s="93">
        <f t="shared" si="40"/>
        <v>2</v>
      </c>
      <c r="AA580" s="245">
        <f t="shared" si="40"/>
        <v>10</v>
      </c>
      <c r="AB580" s="51">
        <f t="shared" si="40"/>
        <v>0</v>
      </c>
      <c r="AC580" s="93">
        <f t="shared" si="40"/>
        <v>2</v>
      </c>
      <c r="AD580" s="245">
        <f t="shared" si="40"/>
        <v>17</v>
      </c>
      <c r="AE580" s="51">
        <f t="shared" si="40"/>
        <v>0</v>
      </c>
      <c r="AF580" s="93">
        <f t="shared" si="40"/>
        <v>0</v>
      </c>
      <c r="AG580" s="245">
        <f t="shared" si="40"/>
        <v>18</v>
      </c>
      <c r="AH580" s="51">
        <f t="shared" si="40"/>
        <v>0</v>
      </c>
      <c r="AI580" s="93">
        <f t="shared" si="40"/>
        <v>0</v>
      </c>
      <c r="AJ580" s="245">
        <f t="shared" si="40"/>
        <v>9</v>
      </c>
      <c r="AK580" s="51">
        <f t="shared" si="40"/>
        <v>0</v>
      </c>
      <c r="AL580" s="93">
        <f t="shared" si="40"/>
        <v>7</v>
      </c>
    </row>
    <row r="581" s="47" customFormat="1" ht="12.75"/>
    <row r="582" spans="2:5" s="47" customFormat="1" ht="12.75">
      <c r="B582" s="369"/>
      <c r="C582" s="369"/>
      <c r="D582" s="369"/>
      <c r="E582" s="369"/>
    </row>
    <row r="583" s="47" customFormat="1" ht="12.75"/>
    <row r="584" spans="2:5" s="47" customFormat="1" ht="12.75">
      <c r="B584" s="383" t="s">
        <v>5</v>
      </c>
      <c r="C584" s="383"/>
      <c r="D584" s="383"/>
      <c r="E584" s="383"/>
    </row>
    <row r="585" spans="2:5" s="47" customFormat="1" ht="12.75">
      <c r="B585" s="60"/>
      <c r="C585" s="60"/>
      <c r="D585" s="60"/>
      <c r="E585" s="60"/>
    </row>
    <row r="586" spans="2:5" s="47" customFormat="1" ht="12.75">
      <c r="B586" s="383" t="s">
        <v>41</v>
      </c>
      <c r="C586" s="383"/>
      <c r="D586" s="383"/>
      <c r="E586" s="383"/>
    </row>
    <row r="587" spans="2:5" s="47" customFormat="1" ht="12.75">
      <c r="B587" s="60"/>
      <c r="C587" s="60"/>
      <c r="D587" s="60"/>
      <c r="E587" s="60"/>
    </row>
    <row r="588" spans="2:5" s="47" customFormat="1" ht="12.75">
      <c r="B588" s="383" t="s">
        <v>86</v>
      </c>
      <c r="C588" s="383"/>
      <c r="D588" s="383"/>
      <c r="E588" s="383"/>
    </row>
    <row r="589" spans="2:5" s="47" customFormat="1" ht="12.75">
      <c r="B589" s="60"/>
      <c r="C589" s="60"/>
      <c r="D589" s="60"/>
      <c r="E589" s="60"/>
    </row>
    <row r="590" spans="2:5" s="47" customFormat="1" ht="12.75">
      <c r="B590" s="383">
        <v>2016</v>
      </c>
      <c r="C590" s="383"/>
      <c r="D590" s="383"/>
      <c r="E590" s="383"/>
    </row>
    <row r="591" spans="2:5" s="47" customFormat="1" ht="13.5" thickBot="1">
      <c r="B591" s="4"/>
      <c r="C591" s="4"/>
      <c r="D591" s="4"/>
      <c r="E591" s="4"/>
    </row>
    <row r="592" spans="2:38" s="47" customFormat="1" ht="13.5" customHeight="1" thickBot="1">
      <c r="B592" s="377" t="s">
        <v>394</v>
      </c>
      <c r="C592" s="374" t="s">
        <v>7</v>
      </c>
      <c r="D592" s="375"/>
      <c r="E592" s="376"/>
      <c r="F592" s="374" t="s">
        <v>433</v>
      </c>
      <c r="G592" s="375"/>
      <c r="H592" s="376"/>
      <c r="I592" s="374" t="s">
        <v>434</v>
      </c>
      <c r="J592" s="375"/>
      <c r="K592" s="376"/>
      <c r="L592" s="374" t="s">
        <v>435</v>
      </c>
      <c r="M592" s="375"/>
      <c r="N592" s="376"/>
      <c r="O592" s="374" t="s">
        <v>436</v>
      </c>
      <c r="P592" s="375"/>
      <c r="Q592" s="376"/>
      <c r="R592" s="374" t="s">
        <v>437</v>
      </c>
      <c r="S592" s="375"/>
      <c r="T592" s="376"/>
      <c r="U592" s="374" t="s">
        <v>438</v>
      </c>
      <c r="V592" s="375"/>
      <c r="W592" s="376"/>
      <c r="X592" s="374" t="s">
        <v>439</v>
      </c>
      <c r="Y592" s="375"/>
      <c r="Z592" s="376"/>
      <c r="AA592" s="374" t="s">
        <v>440</v>
      </c>
      <c r="AB592" s="375"/>
      <c r="AC592" s="376"/>
      <c r="AD592" s="374" t="s">
        <v>441</v>
      </c>
      <c r="AE592" s="375"/>
      <c r="AF592" s="376"/>
      <c r="AG592" s="374" t="s">
        <v>442</v>
      </c>
      <c r="AH592" s="375"/>
      <c r="AI592" s="376"/>
      <c r="AJ592" s="374" t="s">
        <v>443</v>
      </c>
      <c r="AK592" s="375"/>
      <c r="AL592" s="376"/>
    </row>
    <row r="593" spans="2:38" s="47" customFormat="1" ht="12.75" customHeight="1">
      <c r="B593" s="378"/>
      <c r="C593" s="367" t="s">
        <v>66</v>
      </c>
      <c r="D593" s="381" t="s">
        <v>67</v>
      </c>
      <c r="E593" s="371"/>
      <c r="F593" s="367" t="s">
        <v>66</v>
      </c>
      <c r="G593" s="381" t="s">
        <v>67</v>
      </c>
      <c r="H593" s="371"/>
      <c r="I593" s="367" t="s">
        <v>66</v>
      </c>
      <c r="J593" s="381" t="s">
        <v>67</v>
      </c>
      <c r="K593" s="371"/>
      <c r="L593" s="367" t="s">
        <v>66</v>
      </c>
      <c r="M593" s="381" t="s">
        <v>67</v>
      </c>
      <c r="N593" s="371"/>
      <c r="O593" s="367" t="s">
        <v>66</v>
      </c>
      <c r="P593" s="381" t="s">
        <v>67</v>
      </c>
      <c r="Q593" s="371"/>
      <c r="R593" s="367" t="s">
        <v>66</v>
      </c>
      <c r="S593" s="381" t="s">
        <v>67</v>
      </c>
      <c r="T593" s="371"/>
      <c r="U593" s="367" t="s">
        <v>66</v>
      </c>
      <c r="V593" s="381" t="s">
        <v>67</v>
      </c>
      <c r="W593" s="371"/>
      <c r="X593" s="367" t="s">
        <v>66</v>
      </c>
      <c r="Y593" s="381" t="s">
        <v>67</v>
      </c>
      <c r="Z593" s="371"/>
      <c r="AA593" s="367" t="s">
        <v>66</v>
      </c>
      <c r="AB593" s="381" t="s">
        <v>67</v>
      </c>
      <c r="AC593" s="371"/>
      <c r="AD593" s="367" t="s">
        <v>66</v>
      </c>
      <c r="AE593" s="381" t="s">
        <v>67</v>
      </c>
      <c r="AF593" s="371"/>
      <c r="AG593" s="367" t="s">
        <v>66</v>
      </c>
      <c r="AH593" s="381" t="s">
        <v>67</v>
      </c>
      <c r="AI593" s="371"/>
      <c r="AJ593" s="367" t="s">
        <v>66</v>
      </c>
      <c r="AK593" s="381" t="s">
        <v>67</v>
      </c>
      <c r="AL593" s="371"/>
    </row>
    <row r="594" spans="2:38" s="47" customFormat="1" ht="13.5" thickBot="1">
      <c r="B594" s="379"/>
      <c r="C594" s="368"/>
      <c r="D594" s="382"/>
      <c r="E594" s="373"/>
      <c r="F594" s="368"/>
      <c r="G594" s="382"/>
      <c r="H594" s="373"/>
      <c r="I594" s="368"/>
      <c r="J594" s="382"/>
      <c r="K594" s="373"/>
      <c r="L594" s="368"/>
      <c r="M594" s="382"/>
      <c r="N594" s="373"/>
      <c r="O594" s="368"/>
      <c r="P594" s="382"/>
      <c r="Q594" s="373"/>
      <c r="R594" s="368"/>
      <c r="S594" s="382"/>
      <c r="T594" s="373"/>
      <c r="U594" s="368"/>
      <c r="V594" s="382"/>
      <c r="W594" s="373"/>
      <c r="X594" s="368"/>
      <c r="Y594" s="382"/>
      <c r="Z594" s="373"/>
      <c r="AA594" s="368"/>
      <c r="AB594" s="382"/>
      <c r="AC594" s="373"/>
      <c r="AD594" s="368"/>
      <c r="AE594" s="382"/>
      <c r="AF594" s="373"/>
      <c r="AG594" s="368"/>
      <c r="AH594" s="382"/>
      <c r="AI594" s="373"/>
      <c r="AJ594" s="368"/>
      <c r="AK594" s="382"/>
      <c r="AL594" s="373"/>
    </row>
    <row r="595" spans="2:38" s="47" customFormat="1" ht="26.25" thickBot="1">
      <c r="B595" s="380"/>
      <c r="C595" s="96" t="s">
        <v>68</v>
      </c>
      <c r="D595" s="97" t="s">
        <v>69</v>
      </c>
      <c r="E595" s="98" t="s">
        <v>70</v>
      </c>
      <c r="F595" s="96" t="s">
        <v>68</v>
      </c>
      <c r="G595" s="97" t="s">
        <v>69</v>
      </c>
      <c r="H595" s="98" t="s">
        <v>70</v>
      </c>
      <c r="I595" s="96" t="s">
        <v>68</v>
      </c>
      <c r="J595" s="97" t="s">
        <v>69</v>
      </c>
      <c r="K595" s="98" t="s">
        <v>70</v>
      </c>
      <c r="L595" s="96" t="s">
        <v>68</v>
      </c>
      <c r="M595" s="97" t="s">
        <v>69</v>
      </c>
      <c r="N595" s="98" t="s">
        <v>70</v>
      </c>
      <c r="O595" s="96" t="s">
        <v>68</v>
      </c>
      <c r="P595" s="97" t="s">
        <v>69</v>
      </c>
      <c r="Q595" s="98" t="s">
        <v>70</v>
      </c>
      <c r="R595" s="96" t="s">
        <v>68</v>
      </c>
      <c r="S595" s="97" t="s">
        <v>69</v>
      </c>
      <c r="T595" s="98" t="s">
        <v>70</v>
      </c>
      <c r="U595" s="96" t="s">
        <v>68</v>
      </c>
      <c r="V595" s="97" t="s">
        <v>69</v>
      </c>
      <c r="W595" s="98" t="s">
        <v>70</v>
      </c>
      <c r="X595" s="96" t="s">
        <v>68</v>
      </c>
      <c r="Y595" s="97" t="s">
        <v>69</v>
      </c>
      <c r="Z595" s="98" t="s">
        <v>70</v>
      </c>
      <c r="AA595" s="96" t="s">
        <v>68</v>
      </c>
      <c r="AB595" s="97" t="s">
        <v>69</v>
      </c>
      <c r="AC595" s="98" t="s">
        <v>70</v>
      </c>
      <c r="AD595" s="96" t="s">
        <v>68</v>
      </c>
      <c r="AE595" s="97" t="s">
        <v>69</v>
      </c>
      <c r="AF595" s="98" t="s">
        <v>70</v>
      </c>
      <c r="AG595" s="96" t="s">
        <v>68</v>
      </c>
      <c r="AH595" s="97" t="s">
        <v>69</v>
      </c>
      <c r="AI595" s="98" t="s">
        <v>70</v>
      </c>
      <c r="AJ595" s="96" t="s">
        <v>68</v>
      </c>
      <c r="AK595" s="97" t="s">
        <v>69</v>
      </c>
      <c r="AL595" s="98" t="s">
        <v>70</v>
      </c>
    </row>
    <row r="596" spans="2:38" s="47" customFormat="1" ht="12.75">
      <c r="B596" s="5" t="s">
        <v>362</v>
      </c>
      <c r="C596" s="76">
        <v>0</v>
      </c>
      <c r="D596" s="65">
        <v>0</v>
      </c>
      <c r="E596" s="77">
        <v>29</v>
      </c>
      <c r="F596" s="76">
        <v>0</v>
      </c>
      <c r="G596" s="65">
        <v>0</v>
      </c>
      <c r="H596" s="77">
        <v>36</v>
      </c>
      <c r="I596" s="76">
        <v>2</v>
      </c>
      <c r="J596" s="65">
        <v>1</v>
      </c>
      <c r="K596" s="77">
        <v>31</v>
      </c>
      <c r="L596" s="76">
        <v>0</v>
      </c>
      <c r="M596" s="65">
        <v>0</v>
      </c>
      <c r="N596" s="77">
        <v>0</v>
      </c>
      <c r="O596" s="76">
        <v>2</v>
      </c>
      <c r="P596" s="65">
        <v>0</v>
      </c>
      <c r="Q596" s="77">
        <v>0</v>
      </c>
      <c r="R596" s="76">
        <v>0</v>
      </c>
      <c r="S596" s="65">
        <v>0</v>
      </c>
      <c r="T596" s="77">
        <v>0</v>
      </c>
      <c r="U596" s="76">
        <v>1</v>
      </c>
      <c r="V596" s="65">
        <v>0</v>
      </c>
      <c r="W596" s="77">
        <v>0</v>
      </c>
      <c r="X596" s="76">
        <v>2</v>
      </c>
      <c r="Y596" s="65">
        <v>0</v>
      </c>
      <c r="Z596" s="77">
        <v>0</v>
      </c>
      <c r="AA596" s="76">
        <v>3</v>
      </c>
      <c r="AB596" s="65">
        <v>0</v>
      </c>
      <c r="AC596" s="77">
        <v>0</v>
      </c>
      <c r="AD596" s="76">
        <v>0</v>
      </c>
      <c r="AE596" s="65">
        <v>0</v>
      </c>
      <c r="AF596" s="77">
        <v>0</v>
      </c>
      <c r="AG596" s="76">
        <v>0</v>
      </c>
      <c r="AH596" s="65">
        <v>0</v>
      </c>
      <c r="AI596" s="77">
        <v>0</v>
      </c>
      <c r="AJ596" s="76">
        <v>0</v>
      </c>
      <c r="AK596" s="65">
        <v>0</v>
      </c>
      <c r="AL596" s="77">
        <v>0</v>
      </c>
    </row>
    <row r="597" spans="2:38" s="47" customFormat="1" ht="12.75">
      <c r="B597" s="6" t="s">
        <v>363</v>
      </c>
      <c r="C597" s="58">
        <v>0</v>
      </c>
      <c r="D597" s="55">
        <v>0</v>
      </c>
      <c r="E597" s="59">
        <v>0</v>
      </c>
      <c r="F597" s="58">
        <v>0</v>
      </c>
      <c r="G597" s="55">
        <v>0</v>
      </c>
      <c r="H597" s="59">
        <v>0</v>
      </c>
      <c r="I597" s="58">
        <v>0</v>
      </c>
      <c r="J597" s="55">
        <v>0</v>
      </c>
      <c r="K597" s="59">
        <v>0</v>
      </c>
      <c r="L597" s="58">
        <v>0</v>
      </c>
      <c r="M597" s="55">
        <v>0</v>
      </c>
      <c r="N597" s="59">
        <v>0</v>
      </c>
      <c r="O597" s="58">
        <v>0</v>
      </c>
      <c r="P597" s="55">
        <v>0</v>
      </c>
      <c r="Q597" s="59">
        <v>0</v>
      </c>
      <c r="R597" s="58">
        <v>0</v>
      </c>
      <c r="S597" s="55">
        <v>0</v>
      </c>
      <c r="T597" s="59">
        <v>0</v>
      </c>
      <c r="U597" s="58">
        <v>0</v>
      </c>
      <c r="V597" s="55">
        <v>0</v>
      </c>
      <c r="W597" s="59">
        <v>0</v>
      </c>
      <c r="X597" s="58">
        <v>1</v>
      </c>
      <c r="Y597" s="55">
        <v>0</v>
      </c>
      <c r="Z597" s="59">
        <v>0</v>
      </c>
      <c r="AA597" s="58">
        <v>0</v>
      </c>
      <c r="AB597" s="55">
        <v>0</v>
      </c>
      <c r="AC597" s="59">
        <v>0</v>
      </c>
      <c r="AD597" s="58">
        <v>0</v>
      </c>
      <c r="AE597" s="55">
        <v>0</v>
      </c>
      <c r="AF597" s="59">
        <v>0</v>
      </c>
      <c r="AG597" s="58">
        <v>0</v>
      </c>
      <c r="AH597" s="55">
        <v>0</v>
      </c>
      <c r="AI597" s="59">
        <v>0</v>
      </c>
      <c r="AJ597" s="58">
        <v>2</v>
      </c>
      <c r="AK597" s="55">
        <v>0</v>
      </c>
      <c r="AL597" s="59">
        <v>0</v>
      </c>
    </row>
    <row r="598" spans="2:38" s="47" customFormat="1" ht="12.75">
      <c r="B598" s="6" t="s">
        <v>364</v>
      </c>
      <c r="C598" s="58">
        <v>0</v>
      </c>
      <c r="D598" s="55">
        <v>0</v>
      </c>
      <c r="E598" s="59">
        <v>10</v>
      </c>
      <c r="F598" s="58">
        <v>1</v>
      </c>
      <c r="G598" s="55">
        <v>0</v>
      </c>
      <c r="H598" s="59">
        <v>8</v>
      </c>
      <c r="I598" s="58">
        <v>0</v>
      </c>
      <c r="J598" s="55">
        <v>0</v>
      </c>
      <c r="K598" s="59">
        <v>5</v>
      </c>
      <c r="L598" s="58">
        <v>1</v>
      </c>
      <c r="M598" s="55">
        <v>0</v>
      </c>
      <c r="N598" s="59">
        <v>0</v>
      </c>
      <c r="O598" s="58">
        <v>0</v>
      </c>
      <c r="P598" s="55">
        <v>0</v>
      </c>
      <c r="Q598" s="59">
        <v>0</v>
      </c>
      <c r="R598" s="58">
        <v>0</v>
      </c>
      <c r="S598" s="55">
        <v>0</v>
      </c>
      <c r="T598" s="59">
        <v>0</v>
      </c>
      <c r="U598" s="58">
        <v>0</v>
      </c>
      <c r="V598" s="55">
        <v>0</v>
      </c>
      <c r="W598" s="59">
        <v>0</v>
      </c>
      <c r="X598" s="58">
        <v>0</v>
      </c>
      <c r="Y598" s="55">
        <v>0</v>
      </c>
      <c r="Z598" s="59">
        <v>0</v>
      </c>
      <c r="AA598" s="58">
        <v>0</v>
      </c>
      <c r="AB598" s="55">
        <v>0</v>
      </c>
      <c r="AC598" s="59">
        <v>0</v>
      </c>
      <c r="AD598" s="58">
        <v>0</v>
      </c>
      <c r="AE598" s="55">
        <v>0</v>
      </c>
      <c r="AF598" s="59">
        <v>0</v>
      </c>
      <c r="AG598" s="58">
        <v>1</v>
      </c>
      <c r="AH598" s="55">
        <v>0</v>
      </c>
      <c r="AI598" s="59">
        <v>0</v>
      </c>
      <c r="AJ598" s="58">
        <v>0</v>
      </c>
      <c r="AK598" s="55">
        <v>0</v>
      </c>
      <c r="AL598" s="59">
        <v>0</v>
      </c>
    </row>
    <row r="599" spans="2:38" s="47" customFormat="1" ht="12.75">
      <c r="B599" s="6" t="s">
        <v>365</v>
      </c>
      <c r="C599" s="58">
        <v>2</v>
      </c>
      <c r="D599" s="55">
        <v>1</v>
      </c>
      <c r="E599" s="59">
        <v>5</v>
      </c>
      <c r="F599" s="58">
        <v>0</v>
      </c>
      <c r="G599" s="55">
        <v>1</v>
      </c>
      <c r="H599" s="59">
        <v>7</v>
      </c>
      <c r="I599" s="58">
        <v>0</v>
      </c>
      <c r="J599" s="55">
        <v>0</v>
      </c>
      <c r="K599" s="59">
        <v>4</v>
      </c>
      <c r="L599" s="58">
        <v>0</v>
      </c>
      <c r="M599" s="55">
        <v>0</v>
      </c>
      <c r="N599" s="59">
        <v>0</v>
      </c>
      <c r="O599" s="58">
        <v>1</v>
      </c>
      <c r="P599" s="55">
        <v>0</v>
      </c>
      <c r="Q599" s="59">
        <v>0</v>
      </c>
      <c r="R599" s="58">
        <v>0</v>
      </c>
      <c r="S599" s="55">
        <v>0</v>
      </c>
      <c r="T599" s="59">
        <v>0</v>
      </c>
      <c r="U599" s="58">
        <v>1</v>
      </c>
      <c r="V599" s="55">
        <v>0</v>
      </c>
      <c r="W599" s="59">
        <v>0</v>
      </c>
      <c r="X599" s="58">
        <v>0</v>
      </c>
      <c r="Y599" s="55">
        <v>0</v>
      </c>
      <c r="Z599" s="59">
        <v>0</v>
      </c>
      <c r="AA599" s="58">
        <v>0</v>
      </c>
      <c r="AB599" s="55">
        <v>0</v>
      </c>
      <c r="AC599" s="59">
        <v>0</v>
      </c>
      <c r="AD599" s="58">
        <v>0</v>
      </c>
      <c r="AE599" s="55">
        <v>0</v>
      </c>
      <c r="AF599" s="59">
        <v>0</v>
      </c>
      <c r="AG599" s="58">
        <v>2</v>
      </c>
      <c r="AH599" s="55">
        <v>0</v>
      </c>
      <c r="AI599" s="59">
        <v>0</v>
      </c>
      <c r="AJ599" s="58">
        <v>0</v>
      </c>
      <c r="AK599" s="55">
        <v>0</v>
      </c>
      <c r="AL599" s="59">
        <v>0</v>
      </c>
    </row>
    <row r="600" spans="2:38" s="47" customFormat="1" ht="12.75">
      <c r="B600" s="6" t="s">
        <v>366</v>
      </c>
      <c r="C600" s="58">
        <v>0</v>
      </c>
      <c r="D600" s="55">
        <v>0</v>
      </c>
      <c r="E600" s="59">
        <v>0</v>
      </c>
      <c r="F600" s="58">
        <v>1</v>
      </c>
      <c r="G600" s="55">
        <v>2</v>
      </c>
      <c r="H600" s="59">
        <v>8</v>
      </c>
      <c r="I600" s="58">
        <v>1</v>
      </c>
      <c r="J600" s="55">
        <v>0</v>
      </c>
      <c r="K600" s="59">
        <v>25</v>
      </c>
      <c r="L600" s="58">
        <v>0</v>
      </c>
      <c r="M600" s="55">
        <v>0</v>
      </c>
      <c r="N600" s="59">
        <v>0</v>
      </c>
      <c r="O600" s="58">
        <v>0</v>
      </c>
      <c r="P600" s="55">
        <v>0</v>
      </c>
      <c r="Q600" s="59">
        <v>0</v>
      </c>
      <c r="R600" s="58">
        <v>0</v>
      </c>
      <c r="S600" s="55">
        <v>0</v>
      </c>
      <c r="T600" s="59">
        <v>0</v>
      </c>
      <c r="U600" s="58">
        <v>1</v>
      </c>
      <c r="V600" s="55">
        <v>0</v>
      </c>
      <c r="W600" s="59">
        <v>0</v>
      </c>
      <c r="X600" s="58">
        <v>1</v>
      </c>
      <c r="Y600" s="55">
        <v>0</v>
      </c>
      <c r="Z600" s="59">
        <v>0</v>
      </c>
      <c r="AA600" s="58">
        <v>0</v>
      </c>
      <c r="AB600" s="55">
        <v>0</v>
      </c>
      <c r="AC600" s="59">
        <v>0</v>
      </c>
      <c r="AD600" s="58">
        <v>2</v>
      </c>
      <c r="AE600" s="55">
        <v>0</v>
      </c>
      <c r="AF600" s="59">
        <v>0</v>
      </c>
      <c r="AG600" s="58">
        <v>0</v>
      </c>
      <c r="AH600" s="55">
        <v>0</v>
      </c>
      <c r="AI600" s="59">
        <v>0</v>
      </c>
      <c r="AJ600" s="58">
        <v>0</v>
      </c>
      <c r="AK600" s="55">
        <v>0</v>
      </c>
      <c r="AL600" s="59">
        <v>0</v>
      </c>
    </row>
    <row r="601" spans="2:38" s="47" customFormat="1" ht="12.75">
      <c r="B601" s="6" t="s">
        <v>367</v>
      </c>
      <c r="C601" s="58">
        <v>0</v>
      </c>
      <c r="D601" s="55">
        <v>0</v>
      </c>
      <c r="E601" s="59">
        <v>2</v>
      </c>
      <c r="F601" s="58">
        <v>0</v>
      </c>
      <c r="G601" s="55">
        <v>0</v>
      </c>
      <c r="H601" s="59">
        <v>2</v>
      </c>
      <c r="I601" s="58">
        <v>0</v>
      </c>
      <c r="J601" s="55">
        <v>0</v>
      </c>
      <c r="K601" s="59">
        <v>2</v>
      </c>
      <c r="L601" s="58">
        <v>0</v>
      </c>
      <c r="M601" s="55">
        <v>0</v>
      </c>
      <c r="N601" s="59">
        <v>0</v>
      </c>
      <c r="O601" s="58">
        <v>0</v>
      </c>
      <c r="P601" s="55">
        <v>0</v>
      </c>
      <c r="Q601" s="59">
        <v>0</v>
      </c>
      <c r="R601" s="58">
        <v>0</v>
      </c>
      <c r="S601" s="55">
        <v>0</v>
      </c>
      <c r="T601" s="59">
        <v>0</v>
      </c>
      <c r="U601" s="58">
        <v>0</v>
      </c>
      <c r="V601" s="55">
        <v>0</v>
      </c>
      <c r="W601" s="59">
        <v>0</v>
      </c>
      <c r="X601" s="58">
        <v>1</v>
      </c>
      <c r="Y601" s="55">
        <v>0</v>
      </c>
      <c r="Z601" s="59">
        <v>0</v>
      </c>
      <c r="AA601" s="58">
        <v>1</v>
      </c>
      <c r="AB601" s="55">
        <v>0</v>
      </c>
      <c r="AC601" s="59">
        <v>0</v>
      </c>
      <c r="AD601" s="58">
        <v>0</v>
      </c>
      <c r="AE601" s="55">
        <v>0</v>
      </c>
      <c r="AF601" s="59">
        <v>0</v>
      </c>
      <c r="AG601" s="58">
        <v>0</v>
      </c>
      <c r="AH601" s="55">
        <v>0</v>
      </c>
      <c r="AI601" s="59">
        <v>0</v>
      </c>
      <c r="AJ601" s="58">
        <v>0</v>
      </c>
      <c r="AK601" s="55">
        <v>0</v>
      </c>
      <c r="AL601" s="59">
        <v>0</v>
      </c>
    </row>
    <row r="602" spans="2:38" s="47" customFormat="1" ht="12.75">
      <c r="B602" s="6" t="s">
        <v>368</v>
      </c>
      <c r="C602" s="58">
        <v>0</v>
      </c>
      <c r="D602" s="55">
        <v>0</v>
      </c>
      <c r="E602" s="59">
        <v>34</v>
      </c>
      <c r="F602" s="58">
        <v>0</v>
      </c>
      <c r="G602" s="55">
        <v>0</v>
      </c>
      <c r="H602" s="59">
        <v>29</v>
      </c>
      <c r="I602" s="58">
        <v>0</v>
      </c>
      <c r="J602" s="55">
        <v>0</v>
      </c>
      <c r="K602" s="59">
        <v>14</v>
      </c>
      <c r="L602" s="58">
        <v>3</v>
      </c>
      <c r="M602" s="55">
        <v>0</v>
      </c>
      <c r="N602" s="59">
        <v>0</v>
      </c>
      <c r="O602" s="58">
        <v>1</v>
      </c>
      <c r="P602" s="55">
        <v>0</v>
      </c>
      <c r="Q602" s="59">
        <v>0</v>
      </c>
      <c r="R602" s="58">
        <v>0</v>
      </c>
      <c r="S602" s="55">
        <v>0</v>
      </c>
      <c r="T602" s="59">
        <v>0</v>
      </c>
      <c r="U602" s="58">
        <v>0</v>
      </c>
      <c r="V602" s="55">
        <v>0</v>
      </c>
      <c r="W602" s="59">
        <v>0</v>
      </c>
      <c r="X602" s="58">
        <v>0</v>
      </c>
      <c r="Y602" s="55">
        <v>0</v>
      </c>
      <c r="Z602" s="59">
        <v>0</v>
      </c>
      <c r="AA602" s="58">
        <v>1</v>
      </c>
      <c r="AB602" s="55">
        <v>0</v>
      </c>
      <c r="AC602" s="59">
        <v>0</v>
      </c>
      <c r="AD602" s="58">
        <v>1</v>
      </c>
      <c r="AE602" s="55">
        <v>0</v>
      </c>
      <c r="AF602" s="59">
        <v>0</v>
      </c>
      <c r="AG602" s="58">
        <v>2</v>
      </c>
      <c r="AH602" s="55">
        <v>0</v>
      </c>
      <c r="AI602" s="59">
        <v>0</v>
      </c>
      <c r="AJ602" s="58">
        <v>0</v>
      </c>
      <c r="AK602" s="55">
        <v>0</v>
      </c>
      <c r="AL602" s="59">
        <v>0</v>
      </c>
    </row>
    <row r="603" spans="2:38" s="47" customFormat="1" ht="12.75">
      <c r="B603" s="6" t="s">
        <v>369</v>
      </c>
      <c r="C603" s="58">
        <v>0</v>
      </c>
      <c r="D603" s="55">
        <v>0</v>
      </c>
      <c r="E603" s="59">
        <v>17</v>
      </c>
      <c r="F603" s="58">
        <v>0</v>
      </c>
      <c r="G603" s="55">
        <v>0</v>
      </c>
      <c r="H603" s="59">
        <v>30</v>
      </c>
      <c r="I603" s="58">
        <v>1</v>
      </c>
      <c r="J603" s="55">
        <v>1</v>
      </c>
      <c r="K603" s="59">
        <v>19</v>
      </c>
      <c r="L603" s="58">
        <v>1</v>
      </c>
      <c r="M603" s="55">
        <v>0</v>
      </c>
      <c r="N603" s="59">
        <v>0</v>
      </c>
      <c r="O603" s="58">
        <v>0</v>
      </c>
      <c r="P603" s="55">
        <v>0</v>
      </c>
      <c r="Q603" s="59">
        <v>0</v>
      </c>
      <c r="R603" s="58">
        <v>0</v>
      </c>
      <c r="S603" s="55">
        <v>0</v>
      </c>
      <c r="T603" s="59">
        <v>0</v>
      </c>
      <c r="U603" s="58">
        <v>1</v>
      </c>
      <c r="V603" s="55">
        <v>0</v>
      </c>
      <c r="W603" s="59">
        <v>0</v>
      </c>
      <c r="X603" s="58">
        <v>1</v>
      </c>
      <c r="Y603" s="55">
        <v>0</v>
      </c>
      <c r="Z603" s="59">
        <v>0</v>
      </c>
      <c r="AA603" s="58">
        <v>0</v>
      </c>
      <c r="AB603" s="55">
        <v>0</v>
      </c>
      <c r="AC603" s="59">
        <v>0</v>
      </c>
      <c r="AD603" s="58">
        <v>0</v>
      </c>
      <c r="AE603" s="55">
        <v>0</v>
      </c>
      <c r="AF603" s="59">
        <v>0</v>
      </c>
      <c r="AG603" s="58">
        <v>0</v>
      </c>
      <c r="AH603" s="55">
        <v>0</v>
      </c>
      <c r="AI603" s="59">
        <v>0</v>
      </c>
      <c r="AJ603" s="58">
        <v>0</v>
      </c>
      <c r="AK603" s="55">
        <v>0</v>
      </c>
      <c r="AL603" s="59">
        <v>0</v>
      </c>
    </row>
    <row r="604" spans="2:38" s="47" customFormat="1" ht="12.75">
      <c r="B604" s="6" t="s">
        <v>370</v>
      </c>
      <c r="C604" s="58">
        <v>0</v>
      </c>
      <c r="D604" s="55">
        <v>0</v>
      </c>
      <c r="E604" s="59">
        <v>0</v>
      </c>
      <c r="F604" s="58">
        <v>0</v>
      </c>
      <c r="G604" s="55">
        <v>0</v>
      </c>
      <c r="H604" s="59">
        <v>0</v>
      </c>
      <c r="I604" s="58">
        <v>0</v>
      </c>
      <c r="J604" s="55">
        <v>0</v>
      </c>
      <c r="K604" s="59">
        <v>0</v>
      </c>
      <c r="L604" s="58">
        <v>7</v>
      </c>
      <c r="M604" s="55">
        <v>0</v>
      </c>
      <c r="N604" s="59">
        <v>0</v>
      </c>
      <c r="O604" s="58">
        <v>5</v>
      </c>
      <c r="P604" s="55">
        <v>0</v>
      </c>
      <c r="Q604" s="59">
        <v>0</v>
      </c>
      <c r="R604" s="58">
        <v>3</v>
      </c>
      <c r="S604" s="55">
        <v>0</v>
      </c>
      <c r="T604" s="59">
        <v>0</v>
      </c>
      <c r="U604" s="58">
        <v>3</v>
      </c>
      <c r="V604" s="55">
        <v>0</v>
      </c>
      <c r="W604" s="59">
        <v>0</v>
      </c>
      <c r="X604" s="58">
        <v>8</v>
      </c>
      <c r="Y604" s="55">
        <v>0</v>
      </c>
      <c r="Z604" s="59">
        <v>0</v>
      </c>
      <c r="AA604" s="58">
        <v>6</v>
      </c>
      <c r="AB604" s="55">
        <v>0</v>
      </c>
      <c r="AC604" s="59">
        <v>0</v>
      </c>
      <c r="AD604" s="58">
        <v>6</v>
      </c>
      <c r="AE604" s="55">
        <v>0</v>
      </c>
      <c r="AF604" s="59">
        <v>0</v>
      </c>
      <c r="AG604" s="58">
        <v>7</v>
      </c>
      <c r="AH604" s="55">
        <v>0</v>
      </c>
      <c r="AI604" s="59">
        <v>0</v>
      </c>
      <c r="AJ604" s="58">
        <v>5</v>
      </c>
      <c r="AK604" s="55">
        <v>0</v>
      </c>
      <c r="AL604" s="59">
        <v>0</v>
      </c>
    </row>
    <row r="605" spans="2:38" s="47" customFormat="1" ht="13.5" thickBot="1">
      <c r="B605" s="7" t="s">
        <v>371</v>
      </c>
      <c r="C605" s="81">
        <v>1</v>
      </c>
      <c r="D605" s="70">
        <v>2</v>
      </c>
      <c r="E605" s="82">
        <v>7</v>
      </c>
      <c r="F605" s="81">
        <v>1</v>
      </c>
      <c r="G605" s="70">
        <v>1</v>
      </c>
      <c r="H605" s="82">
        <v>12</v>
      </c>
      <c r="I605" s="81">
        <v>1</v>
      </c>
      <c r="J605" s="70">
        <v>1</v>
      </c>
      <c r="K605" s="82">
        <v>5</v>
      </c>
      <c r="L605" s="81">
        <v>0</v>
      </c>
      <c r="M605" s="70">
        <v>0</v>
      </c>
      <c r="N605" s="82">
        <v>0</v>
      </c>
      <c r="O605" s="81">
        <v>0</v>
      </c>
      <c r="P605" s="70">
        <v>0</v>
      </c>
      <c r="Q605" s="82">
        <v>0</v>
      </c>
      <c r="R605" s="81">
        <v>0</v>
      </c>
      <c r="S605" s="70">
        <v>0</v>
      </c>
      <c r="T605" s="82">
        <v>0</v>
      </c>
      <c r="U605" s="81">
        <v>0</v>
      </c>
      <c r="V605" s="70">
        <v>0</v>
      </c>
      <c r="W605" s="82">
        <v>0</v>
      </c>
      <c r="X605" s="81">
        <v>1</v>
      </c>
      <c r="Y605" s="70">
        <v>0</v>
      </c>
      <c r="Z605" s="82">
        <v>0</v>
      </c>
      <c r="AA605" s="81">
        <v>2</v>
      </c>
      <c r="AB605" s="70">
        <v>0</v>
      </c>
      <c r="AC605" s="82">
        <v>0</v>
      </c>
      <c r="AD605" s="81">
        <v>0</v>
      </c>
      <c r="AE605" s="70">
        <v>0</v>
      </c>
      <c r="AF605" s="82">
        <v>0</v>
      </c>
      <c r="AG605" s="81">
        <v>0</v>
      </c>
      <c r="AH605" s="70">
        <v>0</v>
      </c>
      <c r="AI605" s="82">
        <v>0</v>
      </c>
      <c r="AJ605" s="81">
        <v>0</v>
      </c>
      <c r="AK605" s="70">
        <v>0</v>
      </c>
      <c r="AL605" s="82">
        <v>0</v>
      </c>
    </row>
    <row r="606" spans="2:38" s="47" customFormat="1" ht="13.5" thickBot="1">
      <c r="B606" s="83" t="s">
        <v>0</v>
      </c>
      <c r="C606" s="44">
        <f aca="true" t="shared" si="41" ref="C606:AL606">SUM(C596:C605)</f>
        <v>3</v>
      </c>
      <c r="D606" s="51">
        <f t="shared" si="41"/>
        <v>3</v>
      </c>
      <c r="E606" s="52">
        <f t="shared" si="41"/>
        <v>104</v>
      </c>
      <c r="F606" s="109">
        <f t="shared" si="41"/>
        <v>3</v>
      </c>
      <c r="G606" s="51">
        <f t="shared" si="41"/>
        <v>4</v>
      </c>
      <c r="H606" s="93">
        <f t="shared" si="41"/>
        <v>132</v>
      </c>
      <c r="I606" s="245">
        <f t="shared" si="41"/>
        <v>5</v>
      </c>
      <c r="J606" s="51">
        <f t="shared" si="41"/>
        <v>3</v>
      </c>
      <c r="K606" s="93">
        <f t="shared" si="41"/>
        <v>105</v>
      </c>
      <c r="L606" s="245">
        <f t="shared" si="41"/>
        <v>12</v>
      </c>
      <c r="M606" s="51">
        <f t="shared" si="41"/>
        <v>0</v>
      </c>
      <c r="N606" s="93">
        <f t="shared" si="41"/>
        <v>0</v>
      </c>
      <c r="O606" s="245">
        <f t="shared" si="41"/>
        <v>9</v>
      </c>
      <c r="P606" s="51">
        <f t="shared" si="41"/>
        <v>0</v>
      </c>
      <c r="Q606" s="93">
        <f t="shared" si="41"/>
        <v>0</v>
      </c>
      <c r="R606" s="245">
        <f t="shared" si="41"/>
        <v>3</v>
      </c>
      <c r="S606" s="51">
        <f t="shared" si="41"/>
        <v>0</v>
      </c>
      <c r="T606" s="93">
        <f t="shared" si="41"/>
        <v>0</v>
      </c>
      <c r="U606" s="245">
        <f t="shared" si="41"/>
        <v>7</v>
      </c>
      <c r="V606" s="51">
        <f t="shared" si="41"/>
        <v>0</v>
      </c>
      <c r="W606" s="93">
        <f t="shared" si="41"/>
        <v>0</v>
      </c>
      <c r="X606" s="245">
        <f t="shared" si="41"/>
        <v>15</v>
      </c>
      <c r="Y606" s="51">
        <f t="shared" si="41"/>
        <v>0</v>
      </c>
      <c r="Z606" s="93">
        <f t="shared" si="41"/>
        <v>0</v>
      </c>
      <c r="AA606" s="245">
        <f t="shared" si="41"/>
        <v>13</v>
      </c>
      <c r="AB606" s="51">
        <f t="shared" si="41"/>
        <v>0</v>
      </c>
      <c r="AC606" s="93">
        <f t="shared" si="41"/>
        <v>0</v>
      </c>
      <c r="AD606" s="245">
        <f t="shared" si="41"/>
        <v>9</v>
      </c>
      <c r="AE606" s="51">
        <f t="shared" si="41"/>
        <v>0</v>
      </c>
      <c r="AF606" s="93">
        <f t="shared" si="41"/>
        <v>0</v>
      </c>
      <c r="AG606" s="245">
        <f t="shared" si="41"/>
        <v>12</v>
      </c>
      <c r="AH606" s="51">
        <f t="shared" si="41"/>
        <v>0</v>
      </c>
      <c r="AI606" s="93">
        <f t="shared" si="41"/>
        <v>0</v>
      </c>
      <c r="AJ606" s="245">
        <f t="shared" si="41"/>
        <v>7</v>
      </c>
      <c r="AK606" s="51">
        <f t="shared" si="41"/>
        <v>0</v>
      </c>
      <c r="AL606" s="93">
        <f t="shared" si="41"/>
        <v>0</v>
      </c>
    </row>
    <row r="607" s="47" customFormat="1" ht="12.75"/>
    <row r="608" spans="2:5" s="47" customFormat="1" ht="12.75">
      <c r="B608" s="369"/>
      <c r="C608" s="369"/>
      <c r="D608" s="369"/>
      <c r="E608" s="369"/>
    </row>
    <row r="609" s="47" customFormat="1" ht="12.75"/>
    <row r="610" spans="2:5" s="47" customFormat="1" ht="12.75">
      <c r="B610" s="383" t="s">
        <v>25</v>
      </c>
      <c r="C610" s="383"/>
      <c r="D610" s="383"/>
      <c r="E610" s="383"/>
    </row>
    <row r="611" spans="2:5" s="47" customFormat="1" ht="12.75">
      <c r="B611" s="60"/>
      <c r="C611" s="60"/>
      <c r="D611" s="60"/>
      <c r="E611" s="60"/>
    </row>
    <row r="612" spans="2:5" s="47" customFormat="1" ht="12.75">
      <c r="B612" s="383" t="s">
        <v>41</v>
      </c>
      <c r="C612" s="383"/>
      <c r="D612" s="383"/>
      <c r="E612" s="383"/>
    </row>
    <row r="613" spans="2:5" s="47" customFormat="1" ht="12.75">
      <c r="B613" s="60"/>
      <c r="C613" s="60"/>
      <c r="D613" s="60"/>
      <c r="E613" s="60"/>
    </row>
    <row r="614" spans="2:5" s="47" customFormat="1" ht="12.75">
      <c r="B614" s="383"/>
      <c r="C614" s="383"/>
      <c r="D614" s="383"/>
      <c r="E614" s="383"/>
    </row>
    <row r="615" spans="2:5" s="47" customFormat="1" ht="12.75">
      <c r="B615" s="60"/>
      <c r="C615" s="60"/>
      <c r="D615" s="60"/>
      <c r="E615" s="60"/>
    </row>
    <row r="616" spans="2:5" s="47" customFormat="1" ht="12.75">
      <c r="B616" s="383">
        <v>2016</v>
      </c>
      <c r="C616" s="383"/>
      <c r="D616" s="383"/>
      <c r="E616" s="383"/>
    </row>
    <row r="617" spans="2:5" s="47" customFormat="1" ht="13.5" thickBot="1">
      <c r="B617" s="384"/>
      <c r="C617" s="384"/>
      <c r="D617" s="384"/>
      <c r="E617" s="384"/>
    </row>
    <row r="618" spans="2:38" s="47" customFormat="1" ht="13.5" customHeight="1" thickBot="1">
      <c r="B618" s="377" t="s">
        <v>394</v>
      </c>
      <c r="C618" s="374" t="s">
        <v>7</v>
      </c>
      <c r="D618" s="375"/>
      <c r="E618" s="376"/>
      <c r="F618" s="374" t="s">
        <v>433</v>
      </c>
      <c r="G618" s="375"/>
      <c r="H618" s="376"/>
      <c r="I618" s="374" t="s">
        <v>434</v>
      </c>
      <c r="J618" s="375"/>
      <c r="K618" s="376"/>
      <c r="L618" s="374" t="s">
        <v>435</v>
      </c>
      <c r="M618" s="375"/>
      <c r="N618" s="376"/>
      <c r="O618" s="374" t="s">
        <v>436</v>
      </c>
      <c r="P618" s="375"/>
      <c r="Q618" s="376"/>
      <c r="R618" s="374" t="s">
        <v>437</v>
      </c>
      <c r="S618" s="375"/>
      <c r="T618" s="376"/>
      <c r="U618" s="374" t="s">
        <v>438</v>
      </c>
      <c r="V618" s="375"/>
      <c r="W618" s="376"/>
      <c r="X618" s="374" t="s">
        <v>439</v>
      </c>
      <c r="Y618" s="375"/>
      <c r="Z618" s="376"/>
      <c r="AA618" s="374" t="s">
        <v>440</v>
      </c>
      <c r="AB618" s="375"/>
      <c r="AC618" s="376"/>
      <c r="AD618" s="374" t="s">
        <v>441</v>
      </c>
      <c r="AE618" s="375"/>
      <c r="AF618" s="376"/>
      <c r="AG618" s="374" t="s">
        <v>442</v>
      </c>
      <c r="AH618" s="375"/>
      <c r="AI618" s="376"/>
      <c r="AJ618" s="374" t="s">
        <v>443</v>
      </c>
      <c r="AK618" s="375"/>
      <c r="AL618" s="376"/>
    </row>
    <row r="619" spans="2:38" s="47" customFormat="1" ht="12.75" customHeight="1">
      <c r="B619" s="378"/>
      <c r="C619" s="367" t="s">
        <v>66</v>
      </c>
      <c r="D619" s="381" t="s">
        <v>67</v>
      </c>
      <c r="E619" s="371"/>
      <c r="F619" s="367" t="s">
        <v>66</v>
      </c>
      <c r="G619" s="381" t="s">
        <v>67</v>
      </c>
      <c r="H619" s="371"/>
      <c r="I619" s="367" t="s">
        <v>66</v>
      </c>
      <c r="J619" s="381" t="s">
        <v>67</v>
      </c>
      <c r="K619" s="371"/>
      <c r="L619" s="367" t="s">
        <v>66</v>
      </c>
      <c r="M619" s="381" t="s">
        <v>67</v>
      </c>
      <c r="N619" s="371"/>
      <c r="O619" s="367" t="s">
        <v>66</v>
      </c>
      <c r="P619" s="381" t="s">
        <v>67</v>
      </c>
      <c r="Q619" s="371"/>
      <c r="R619" s="367" t="s">
        <v>66</v>
      </c>
      <c r="S619" s="381" t="s">
        <v>67</v>
      </c>
      <c r="T619" s="371"/>
      <c r="U619" s="367" t="s">
        <v>66</v>
      </c>
      <c r="V619" s="381" t="s">
        <v>67</v>
      </c>
      <c r="W619" s="371"/>
      <c r="X619" s="367" t="s">
        <v>66</v>
      </c>
      <c r="Y619" s="381" t="s">
        <v>67</v>
      </c>
      <c r="Z619" s="371"/>
      <c r="AA619" s="367" t="s">
        <v>66</v>
      </c>
      <c r="AB619" s="381" t="s">
        <v>67</v>
      </c>
      <c r="AC619" s="371"/>
      <c r="AD619" s="367" t="s">
        <v>66</v>
      </c>
      <c r="AE619" s="381" t="s">
        <v>67</v>
      </c>
      <c r="AF619" s="371"/>
      <c r="AG619" s="367" t="s">
        <v>66</v>
      </c>
      <c r="AH619" s="381" t="s">
        <v>67</v>
      </c>
      <c r="AI619" s="371"/>
      <c r="AJ619" s="367" t="s">
        <v>66</v>
      </c>
      <c r="AK619" s="381" t="s">
        <v>67</v>
      </c>
      <c r="AL619" s="371"/>
    </row>
    <row r="620" spans="2:38" s="47" customFormat="1" ht="13.5" thickBot="1">
      <c r="B620" s="379"/>
      <c r="C620" s="368"/>
      <c r="D620" s="382"/>
      <c r="E620" s="373"/>
      <c r="F620" s="368"/>
      <c r="G620" s="382"/>
      <c r="H620" s="373"/>
      <c r="I620" s="368"/>
      <c r="J620" s="382"/>
      <c r="K620" s="373"/>
      <c r="L620" s="368"/>
      <c r="M620" s="382"/>
      <c r="N620" s="373"/>
      <c r="O620" s="368"/>
      <c r="P620" s="382"/>
      <c r="Q620" s="373"/>
      <c r="R620" s="368"/>
      <c r="S620" s="382"/>
      <c r="T620" s="373"/>
      <c r="U620" s="368"/>
      <c r="V620" s="382"/>
      <c r="W620" s="373"/>
      <c r="X620" s="368"/>
      <c r="Y620" s="382"/>
      <c r="Z620" s="373"/>
      <c r="AA620" s="368"/>
      <c r="AB620" s="382"/>
      <c r="AC620" s="373"/>
      <c r="AD620" s="368"/>
      <c r="AE620" s="382"/>
      <c r="AF620" s="373"/>
      <c r="AG620" s="368"/>
      <c r="AH620" s="382"/>
      <c r="AI620" s="373"/>
      <c r="AJ620" s="368"/>
      <c r="AK620" s="382"/>
      <c r="AL620" s="373"/>
    </row>
    <row r="621" spans="2:38" s="47" customFormat="1" ht="26.25" thickBot="1">
      <c r="B621" s="380"/>
      <c r="C621" s="96" t="s">
        <v>68</v>
      </c>
      <c r="D621" s="97" t="s">
        <v>69</v>
      </c>
      <c r="E621" s="98" t="s">
        <v>70</v>
      </c>
      <c r="F621" s="96" t="s">
        <v>68</v>
      </c>
      <c r="G621" s="97" t="s">
        <v>69</v>
      </c>
      <c r="H621" s="98" t="s">
        <v>70</v>
      </c>
      <c r="I621" s="96" t="s">
        <v>68</v>
      </c>
      <c r="J621" s="97" t="s">
        <v>69</v>
      </c>
      <c r="K621" s="98" t="s">
        <v>70</v>
      </c>
      <c r="L621" s="96" t="s">
        <v>68</v>
      </c>
      <c r="M621" s="97" t="s">
        <v>69</v>
      </c>
      <c r="N621" s="98" t="s">
        <v>70</v>
      </c>
      <c r="O621" s="96" t="s">
        <v>68</v>
      </c>
      <c r="P621" s="97" t="s">
        <v>69</v>
      </c>
      <c r="Q621" s="98" t="s">
        <v>70</v>
      </c>
      <c r="R621" s="96" t="s">
        <v>68</v>
      </c>
      <c r="S621" s="97" t="s">
        <v>69</v>
      </c>
      <c r="T621" s="98" t="s">
        <v>70</v>
      </c>
      <c r="U621" s="96" t="s">
        <v>68</v>
      </c>
      <c r="V621" s="97" t="s">
        <v>69</v>
      </c>
      <c r="W621" s="98" t="s">
        <v>70</v>
      </c>
      <c r="X621" s="96" t="s">
        <v>68</v>
      </c>
      <c r="Y621" s="97" t="s">
        <v>69</v>
      </c>
      <c r="Z621" s="98" t="s">
        <v>70</v>
      </c>
      <c r="AA621" s="96" t="s">
        <v>68</v>
      </c>
      <c r="AB621" s="97" t="s">
        <v>69</v>
      </c>
      <c r="AC621" s="98" t="s">
        <v>70</v>
      </c>
      <c r="AD621" s="96" t="s">
        <v>68</v>
      </c>
      <c r="AE621" s="97" t="s">
        <v>69</v>
      </c>
      <c r="AF621" s="98" t="s">
        <v>70</v>
      </c>
      <c r="AG621" s="96" t="s">
        <v>68</v>
      </c>
      <c r="AH621" s="97" t="s">
        <v>69</v>
      </c>
      <c r="AI621" s="98" t="s">
        <v>70</v>
      </c>
      <c r="AJ621" s="96" t="s">
        <v>68</v>
      </c>
      <c r="AK621" s="97" t="s">
        <v>69</v>
      </c>
      <c r="AL621" s="98" t="s">
        <v>70</v>
      </c>
    </row>
    <row r="622" spans="2:38" s="47" customFormat="1" ht="12.75">
      <c r="B622" s="5" t="s">
        <v>372</v>
      </c>
      <c r="C622" s="76">
        <v>0</v>
      </c>
      <c r="D622" s="113">
        <v>0</v>
      </c>
      <c r="E622" s="66">
        <v>0</v>
      </c>
      <c r="F622" s="76">
        <v>2</v>
      </c>
      <c r="G622" s="65">
        <v>1</v>
      </c>
      <c r="H622" s="77">
        <v>77</v>
      </c>
      <c r="I622" s="76">
        <v>0</v>
      </c>
      <c r="J622" s="65">
        <v>0</v>
      </c>
      <c r="K622" s="77">
        <v>30</v>
      </c>
      <c r="L622" s="76">
        <v>2</v>
      </c>
      <c r="M622" s="65">
        <v>0</v>
      </c>
      <c r="N622" s="77">
        <v>0</v>
      </c>
      <c r="O622" s="76">
        <v>3</v>
      </c>
      <c r="P622" s="65">
        <v>0</v>
      </c>
      <c r="Q622" s="77">
        <v>0</v>
      </c>
      <c r="R622" s="76">
        <v>3</v>
      </c>
      <c r="S622" s="65">
        <v>0</v>
      </c>
      <c r="T622" s="77">
        <v>0</v>
      </c>
      <c r="U622" s="76">
        <v>0</v>
      </c>
      <c r="V622" s="65">
        <v>0</v>
      </c>
      <c r="W622" s="77">
        <v>0</v>
      </c>
      <c r="X622" s="76">
        <v>0</v>
      </c>
      <c r="Y622" s="65">
        <v>0</v>
      </c>
      <c r="Z622" s="77">
        <v>0</v>
      </c>
      <c r="AA622" s="76">
        <v>1</v>
      </c>
      <c r="AB622" s="65">
        <v>0</v>
      </c>
      <c r="AC622" s="77">
        <v>0</v>
      </c>
      <c r="AD622" s="76">
        <v>1</v>
      </c>
      <c r="AE622" s="65">
        <v>0</v>
      </c>
      <c r="AF622" s="77">
        <v>0</v>
      </c>
      <c r="AG622" s="76">
        <v>4</v>
      </c>
      <c r="AH622" s="65">
        <v>0</v>
      </c>
      <c r="AI622" s="77">
        <v>0</v>
      </c>
      <c r="AJ622" s="76">
        <v>0</v>
      </c>
      <c r="AK622" s="65">
        <v>0</v>
      </c>
      <c r="AL622" s="77">
        <v>0</v>
      </c>
    </row>
    <row r="623" spans="2:38" s="47" customFormat="1" ht="12.75">
      <c r="B623" s="6" t="s">
        <v>373</v>
      </c>
      <c r="C623" s="58">
        <v>0</v>
      </c>
      <c r="D623" s="54">
        <v>0</v>
      </c>
      <c r="E623" s="56">
        <v>25</v>
      </c>
      <c r="F623" s="58">
        <v>4</v>
      </c>
      <c r="G623" s="55">
        <v>4</v>
      </c>
      <c r="H623" s="59">
        <v>40</v>
      </c>
      <c r="I623" s="58">
        <v>1</v>
      </c>
      <c r="J623" s="55">
        <v>0</v>
      </c>
      <c r="K623" s="59">
        <v>43</v>
      </c>
      <c r="L623" s="58">
        <v>0</v>
      </c>
      <c r="M623" s="55">
        <v>0</v>
      </c>
      <c r="N623" s="59">
        <v>0</v>
      </c>
      <c r="O623" s="58">
        <v>1</v>
      </c>
      <c r="P623" s="55">
        <v>0</v>
      </c>
      <c r="Q623" s="59">
        <v>0</v>
      </c>
      <c r="R623" s="58">
        <v>0</v>
      </c>
      <c r="S623" s="55">
        <v>0</v>
      </c>
      <c r="T623" s="59">
        <v>0</v>
      </c>
      <c r="U623" s="58">
        <v>1</v>
      </c>
      <c r="V623" s="55">
        <v>0</v>
      </c>
      <c r="W623" s="59">
        <v>0</v>
      </c>
      <c r="X623" s="58">
        <v>4</v>
      </c>
      <c r="Y623" s="55">
        <v>0</v>
      </c>
      <c r="Z623" s="59">
        <v>0</v>
      </c>
      <c r="AA623" s="58">
        <v>2</v>
      </c>
      <c r="AB623" s="55">
        <v>0</v>
      </c>
      <c r="AC623" s="59">
        <v>0</v>
      </c>
      <c r="AD623" s="58">
        <v>0</v>
      </c>
      <c r="AE623" s="55">
        <v>0</v>
      </c>
      <c r="AF623" s="59">
        <v>0</v>
      </c>
      <c r="AG623" s="58">
        <v>0</v>
      </c>
      <c r="AH623" s="55">
        <v>0</v>
      </c>
      <c r="AI623" s="59">
        <v>0</v>
      </c>
      <c r="AJ623" s="58">
        <v>0</v>
      </c>
      <c r="AK623" s="55">
        <v>0</v>
      </c>
      <c r="AL623" s="59">
        <v>0</v>
      </c>
    </row>
    <row r="624" spans="2:38" s="47" customFormat="1" ht="12.75">
      <c r="B624" s="6" t="s">
        <v>374</v>
      </c>
      <c r="C624" s="58">
        <v>1</v>
      </c>
      <c r="D624" s="54">
        <v>0</v>
      </c>
      <c r="E624" s="56">
        <v>29</v>
      </c>
      <c r="F624" s="58">
        <v>0</v>
      </c>
      <c r="G624" s="55">
        <v>1</v>
      </c>
      <c r="H624" s="59">
        <v>20</v>
      </c>
      <c r="I624" s="58">
        <v>0</v>
      </c>
      <c r="J624" s="55">
        <v>0</v>
      </c>
      <c r="K624" s="59">
        <v>23</v>
      </c>
      <c r="L624" s="58">
        <v>1</v>
      </c>
      <c r="M624" s="55">
        <v>0</v>
      </c>
      <c r="N624" s="59">
        <v>0</v>
      </c>
      <c r="O624" s="58">
        <v>0</v>
      </c>
      <c r="P624" s="55">
        <v>0</v>
      </c>
      <c r="Q624" s="59">
        <v>0</v>
      </c>
      <c r="R624" s="58">
        <v>0</v>
      </c>
      <c r="S624" s="55">
        <v>0</v>
      </c>
      <c r="T624" s="59">
        <v>0</v>
      </c>
      <c r="U624" s="58">
        <v>0</v>
      </c>
      <c r="V624" s="55">
        <v>0</v>
      </c>
      <c r="W624" s="59">
        <v>0</v>
      </c>
      <c r="X624" s="58">
        <v>1</v>
      </c>
      <c r="Y624" s="55">
        <v>0</v>
      </c>
      <c r="Z624" s="59">
        <v>0</v>
      </c>
      <c r="AA624" s="58">
        <v>0</v>
      </c>
      <c r="AB624" s="55">
        <v>0</v>
      </c>
      <c r="AC624" s="59">
        <v>0</v>
      </c>
      <c r="AD624" s="58">
        <v>0</v>
      </c>
      <c r="AE624" s="55">
        <v>0</v>
      </c>
      <c r="AF624" s="59">
        <v>0</v>
      </c>
      <c r="AG624" s="58">
        <v>3</v>
      </c>
      <c r="AH624" s="55">
        <v>0</v>
      </c>
      <c r="AI624" s="59">
        <v>0</v>
      </c>
      <c r="AJ624" s="58">
        <v>0</v>
      </c>
      <c r="AK624" s="55">
        <v>0</v>
      </c>
      <c r="AL624" s="59">
        <v>0</v>
      </c>
    </row>
    <row r="625" spans="2:38" s="47" customFormat="1" ht="12.75">
      <c r="B625" s="6" t="s">
        <v>375</v>
      </c>
      <c r="C625" s="58">
        <v>0</v>
      </c>
      <c r="D625" s="54">
        <v>0</v>
      </c>
      <c r="E625" s="56">
        <v>27</v>
      </c>
      <c r="F625" s="58">
        <v>1</v>
      </c>
      <c r="G625" s="55">
        <v>0</v>
      </c>
      <c r="H625" s="59">
        <v>35</v>
      </c>
      <c r="I625" s="58">
        <v>2</v>
      </c>
      <c r="J625" s="55">
        <v>2</v>
      </c>
      <c r="K625" s="59">
        <v>29</v>
      </c>
      <c r="L625" s="58">
        <v>3</v>
      </c>
      <c r="M625" s="55">
        <v>0</v>
      </c>
      <c r="N625" s="59">
        <v>0</v>
      </c>
      <c r="O625" s="58">
        <v>2</v>
      </c>
      <c r="P625" s="55">
        <v>0</v>
      </c>
      <c r="Q625" s="59">
        <v>0</v>
      </c>
      <c r="R625" s="58">
        <v>1</v>
      </c>
      <c r="S625" s="55">
        <v>0</v>
      </c>
      <c r="T625" s="59">
        <v>0</v>
      </c>
      <c r="U625" s="58">
        <v>3</v>
      </c>
      <c r="V625" s="55">
        <v>0</v>
      </c>
      <c r="W625" s="59">
        <v>0</v>
      </c>
      <c r="X625" s="58">
        <v>1</v>
      </c>
      <c r="Y625" s="55">
        <v>0</v>
      </c>
      <c r="Z625" s="59">
        <v>0</v>
      </c>
      <c r="AA625" s="58">
        <v>0</v>
      </c>
      <c r="AB625" s="55">
        <v>0</v>
      </c>
      <c r="AC625" s="59">
        <v>0</v>
      </c>
      <c r="AD625" s="58">
        <v>1</v>
      </c>
      <c r="AE625" s="55">
        <v>0</v>
      </c>
      <c r="AF625" s="59">
        <v>0</v>
      </c>
      <c r="AG625" s="58">
        <v>3</v>
      </c>
      <c r="AH625" s="55">
        <v>0</v>
      </c>
      <c r="AI625" s="59">
        <v>0</v>
      </c>
      <c r="AJ625" s="58">
        <v>1</v>
      </c>
      <c r="AK625" s="55">
        <v>0</v>
      </c>
      <c r="AL625" s="59">
        <v>0</v>
      </c>
    </row>
    <row r="626" spans="2:38" s="47" customFormat="1" ht="12.75">
      <c r="B626" s="6" t="s">
        <v>376</v>
      </c>
      <c r="C626" s="58">
        <v>1</v>
      </c>
      <c r="D626" s="54">
        <v>0</v>
      </c>
      <c r="E626" s="56">
        <v>24</v>
      </c>
      <c r="F626" s="58">
        <v>0</v>
      </c>
      <c r="G626" s="55">
        <v>0</v>
      </c>
      <c r="H626" s="59">
        <v>20</v>
      </c>
      <c r="I626" s="58">
        <v>0</v>
      </c>
      <c r="J626" s="55">
        <v>0</v>
      </c>
      <c r="K626" s="59">
        <v>15</v>
      </c>
      <c r="L626" s="58">
        <v>1</v>
      </c>
      <c r="M626" s="55">
        <v>0</v>
      </c>
      <c r="N626" s="59">
        <v>0</v>
      </c>
      <c r="O626" s="58">
        <v>1</v>
      </c>
      <c r="P626" s="55">
        <v>0</v>
      </c>
      <c r="Q626" s="59">
        <v>0</v>
      </c>
      <c r="R626" s="58">
        <v>0</v>
      </c>
      <c r="S626" s="55">
        <v>0</v>
      </c>
      <c r="T626" s="59">
        <v>0</v>
      </c>
      <c r="U626" s="58">
        <v>0</v>
      </c>
      <c r="V626" s="55">
        <v>0</v>
      </c>
      <c r="W626" s="59">
        <v>0</v>
      </c>
      <c r="X626" s="58">
        <v>0</v>
      </c>
      <c r="Y626" s="55">
        <v>0</v>
      </c>
      <c r="Z626" s="59">
        <v>0</v>
      </c>
      <c r="AA626" s="58">
        <v>0</v>
      </c>
      <c r="AB626" s="55">
        <v>0</v>
      </c>
      <c r="AC626" s="59">
        <v>0</v>
      </c>
      <c r="AD626" s="58">
        <v>0</v>
      </c>
      <c r="AE626" s="55">
        <v>0</v>
      </c>
      <c r="AF626" s="59">
        <v>0</v>
      </c>
      <c r="AG626" s="58">
        <v>0</v>
      </c>
      <c r="AH626" s="55">
        <v>0</v>
      </c>
      <c r="AI626" s="59">
        <v>0</v>
      </c>
      <c r="AJ626" s="58">
        <v>0</v>
      </c>
      <c r="AK626" s="55">
        <v>0</v>
      </c>
      <c r="AL626" s="59">
        <v>0</v>
      </c>
    </row>
    <row r="627" spans="2:38" s="47" customFormat="1" ht="12.75">
      <c r="B627" s="6" t="s">
        <v>377</v>
      </c>
      <c r="C627" s="58">
        <v>0</v>
      </c>
      <c r="D627" s="54">
        <v>0</v>
      </c>
      <c r="E627" s="56">
        <v>116</v>
      </c>
      <c r="F627" s="58">
        <v>1</v>
      </c>
      <c r="G627" s="55">
        <v>1</v>
      </c>
      <c r="H627" s="59">
        <v>89</v>
      </c>
      <c r="I627" s="58">
        <v>0</v>
      </c>
      <c r="J627" s="55">
        <v>0</v>
      </c>
      <c r="K627" s="59">
        <v>56</v>
      </c>
      <c r="L627" s="58">
        <v>0</v>
      </c>
      <c r="M627" s="55">
        <v>0</v>
      </c>
      <c r="N627" s="59">
        <v>0</v>
      </c>
      <c r="O627" s="58">
        <v>0</v>
      </c>
      <c r="P627" s="55">
        <v>0</v>
      </c>
      <c r="Q627" s="59">
        <v>0</v>
      </c>
      <c r="R627" s="58">
        <v>1</v>
      </c>
      <c r="S627" s="55">
        <v>0</v>
      </c>
      <c r="T627" s="59">
        <v>0</v>
      </c>
      <c r="U627" s="58">
        <v>0</v>
      </c>
      <c r="V627" s="55">
        <v>0</v>
      </c>
      <c r="W627" s="59">
        <v>0</v>
      </c>
      <c r="X627" s="58">
        <v>0</v>
      </c>
      <c r="Y627" s="55">
        <v>0</v>
      </c>
      <c r="Z627" s="59">
        <v>0</v>
      </c>
      <c r="AA627" s="58">
        <v>1</v>
      </c>
      <c r="AB627" s="55">
        <v>0</v>
      </c>
      <c r="AC627" s="59">
        <v>0</v>
      </c>
      <c r="AD627" s="58">
        <v>0</v>
      </c>
      <c r="AE627" s="55">
        <v>0</v>
      </c>
      <c r="AF627" s="59">
        <v>0</v>
      </c>
      <c r="AG627" s="58">
        <v>0</v>
      </c>
      <c r="AH627" s="55">
        <v>0</v>
      </c>
      <c r="AI627" s="59">
        <v>0</v>
      </c>
      <c r="AJ627" s="58">
        <v>2</v>
      </c>
      <c r="AK627" s="55">
        <v>0</v>
      </c>
      <c r="AL627" s="59">
        <v>0</v>
      </c>
    </row>
    <row r="628" spans="2:38" s="47" customFormat="1" ht="12.75">
      <c r="B628" s="6" t="s">
        <v>378</v>
      </c>
      <c r="C628" s="58">
        <v>0</v>
      </c>
      <c r="D628" s="54">
        <v>0</v>
      </c>
      <c r="E628" s="56">
        <v>1</v>
      </c>
      <c r="F628" s="58">
        <v>0</v>
      </c>
      <c r="G628" s="55">
        <v>0</v>
      </c>
      <c r="H628" s="59">
        <v>1</v>
      </c>
      <c r="I628" s="58">
        <v>0</v>
      </c>
      <c r="J628" s="55">
        <v>0</v>
      </c>
      <c r="K628" s="59">
        <v>5</v>
      </c>
      <c r="L628" s="58">
        <v>0</v>
      </c>
      <c r="M628" s="55">
        <v>0</v>
      </c>
      <c r="N628" s="59">
        <v>0</v>
      </c>
      <c r="O628" s="58">
        <v>1</v>
      </c>
      <c r="P628" s="55">
        <v>0</v>
      </c>
      <c r="Q628" s="59">
        <v>0</v>
      </c>
      <c r="R628" s="58">
        <v>1</v>
      </c>
      <c r="S628" s="55">
        <v>0</v>
      </c>
      <c r="T628" s="59">
        <v>0</v>
      </c>
      <c r="U628" s="58">
        <v>0</v>
      </c>
      <c r="V628" s="55">
        <v>0</v>
      </c>
      <c r="W628" s="59">
        <v>0</v>
      </c>
      <c r="X628" s="58">
        <v>0</v>
      </c>
      <c r="Y628" s="55">
        <v>0</v>
      </c>
      <c r="Z628" s="59">
        <v>0</v>
      </c>
      <c r="AA628" s="58">
        <v>0</v>
      </c>
      <c r="AB628" s="55">
        <v>0</v>
      </c>
      <c r="AC628" s="59">
        <v>0</v>
      </c>
      <c r="AD628" s="58">
        <v>0</v>
      </c>
      <c r="AE628" s="55">
        <v>0</v>
      </c>
      <c r="AF628" s="59">
        <v>0</v>
      </c>
      <c r="AG628" s="58">
        <v>0</v>
      </c>
      <c r="AH628" s="55">
        <v>0</v>
      </c>
      <c r="AI628" s="59">
        <v>0</v>
      </c>
      <c r="AJ628" s="58">
        <v>0</v>
      </c>
      <c r="AK628" s="55">
        <v>0</v>
      </c>
      <c r="AL628" s="59">
        <v>0</v>
      </c>
    </row>
    <row r="629" spans="2:38" s="47" customFormat="1" ht="12.75">
      <c r="B629" s="6" t="s">
        <v>379</v>
      </c>
      <c r="C629" s="58">
        <v>1</v>
      </c>
      <c r="D629" s="54">
        <v>0</v>
      </c>
      <c r="E629" s="56">
        <v>168</v>
      </c>
      <c r="F629" s="58">
        <v>0</v>
      </c>
      <c r="G629" s="55">
        <v>1</v>
      </c>
      <c r="H629" s="59">
        <v>146</v>
      </c>
      <c r="I629" s="58">
        <v>1</v>
      </c>
      <c r="J629" s="55">
        <v>1</v>
      </c>
      <c r="K629" s="59">
        <v>141</v>
      </c>
      <c r="L629" s="58">
        <v>0</v>
      </c>
      <c r="M629" s="55">
        <v>0</v>
      </c>
      <c r="N629" s="59">
        <v>101</v>
      </c>
      <c r="O629" s="58">
        <v>0</v>
      </c>
      <c r="P629" s="55">
        <v>0</v>
      </c>
      <c r="Q629" s="59">
        <v>0</v>
      </c>
      <c r="R629" s="58">
        <v>0</v>
      </c>
      <c r="S629" s="55">
        <v>0</v>
      </c>
      <c r="T629" s="59">
        <v>0</v>
      </c>
      <c r="U629" s="58">
        <v>1</v>
      </c>
      <c r="V629" s="55">
        <v>0</v>
      </c>
      <c r="W629" s="59">
        <v>0</v>
      </c>
      <c r="X629" s="58">
        <v>2</v>
      </c>
      <c r="Y629" s="55">
        <v>0</v>
      </c>
      <c r="Z629" s="59">
        <v>0</v>
      </c>
      <c r="AA629" s="58">
        <v>1</v>
      </c>
      <c r="AB629" s="55">
        <v>0</v>
      </c>
      <c r="AC629" s="59">
        <v>0</v>
      </c>
      <c r="AD629" s="58">
        <v>3</v>
      </c>
      <c r="AE629" s="55">
        <v>0</v>
      </c>
      <c r="AF629" s="59">
        <v>0</v>
      </c>
      <c r="AG629" s="58">
        <v>0</v>
      </c>
      <c r="AH629" s="55">
        <v>0</v>
      </c>
      <c r="AI629" s="59">
        <v>0</v>
      </c>
      <c r="AJ629" s="58">
        <v>0</v>
      </c>
      <c r="AK629" s="55">
        <v>0</v>
      </c>
      <c r="AL629" s="59">
        <v>0</v>
      </c>
    </row>
    <row r="630" spans="2:38" s="47" customFormat="1" ht="12.75">
      <c r="B630" s="6" t="s">
        <v>410</v>
      </c>
      <c r="C630" s="58">
        <v>4</v>
      </c>
      <c r="D630" s="54">
        <v>0</v>
      </c>
      <c r="E630" s="56">
        <v>13</v>
      </c>
      <c r="F630" s="58">
        <v>0</v>
      </c>
      <c r="G630" s="55">
        <v>0</v>
      </c>
      <c r="H630" s="59">
        <v>7</v>
      </c>
      <c r="I630" s="58">
        <v>0</v>
      </c>
      <c r="J630" s="55">
        <v>0</v>
      </c>
      <c r="K630" s="59">
        <v>9</v>
      </c>
      <c r="L630" s="58">
        <v>0</v>
      </c>
      <c r="M630" s="55">
        <v>0</v>
      </c>
      <c r="N630" s="59">
        <v>10</v>
      </c>
      <c r="O630" s="58">
        <v>0</v>
      </c>
      <c r="P630" s="55">
        <v>0</v>
      </c>
      <c r="Q630" s="59">
        <v>16</v>
      </c>
      <c r="R630" s="58">
        <v>1</v>
      </c>
      <c r="S630" s="55">
        <v>0</v>
      </c>
      <c r="T630" s="59">
        <v>7</v>
      </c>
      <c r="U630" s="58">
        <v>0</v>
      </c>
      <c r="V630" s="55">
        <v>0</v>
      </c>
      <c r="W630" s="59">
        <v>15</v>
      </c>
      <c r="X630" s="58">
        <v>0</v>
      </c>
      <c r="Y630" s="55">
        <v>0</v>
      </c>
      <c r="Z630" s="59">
        <v>13</v>
      </c>
      <c r="AA630" s="58">
        <v>0</v>
      </c>
      <c r="AB630" s="55">
        <v>0</v>
      </c>
      <c r="AC630" s="59">
        <v>5</v>
      </c>
      <c r="AD630" s="58">
        <v>0</v>
      </c>
      <c r="AE630" s="55">
        <v>0</v>
      </c>
      <c r="AF630" s="59">
        <v>5</v>
      </c>
      <c r="AG630" s="58">
        <v>0</v>
      </c>
      <c r="AH630" s="55">
        <v>0</v>
      </c>
      <c r="AI630" s="59">
        <v>3</v>
      </c>
      <c r="AJ630" s="58">
        <v>0</v>
      </c>
      <c r="AK630" s="55">
        <v>0</v>
      </c>
      <c r="AL630" s="59">
        <v>4</v>
      </c>
    </row>
    <row r="631" spans="2:38" s="47" customFormat="1" ht="12.75">
      <c r="B631" s="6" t="s">
        <v>380</v>
      </c>
      <c r="C631" s="58">
        <v>0</v>
      </c>
      <c r="D631" s="54">
        <v>0</v>
      </c>
      <c r="E631" s="56">
        <v>20</v>
      </c>
      <c r="F631" s="58">
        <v>0</v>
      </c>
      <c r="G631" s="55">
        <v>0</v>
      </c>
      <c r="H631" s="59">
        <v>47</v>
      </c>
      <c r="I631" s="58">
        <v>3</v>
      </c>
      <c r="J631" s="55">
        <v>1</v>
      </c>
      <c r="K631" s="59">
        <v>21</v>
      </c>
      <c r="L631" s="58">
        <v>3</v>
      </c>
      <c r="M631" s="55">
        <v>0</v>
      </c>
      <c r="N631" s="59">
        <v>0</v>
      </c>
      <c r="O631" s="58">
        <v>0</v>
      </c>
      <c r="P631" s="55">
        <v>0</v>
      </c>
      <c r="Q631" s="59">
        <v>0</v>
      </c>
      <c r="R631" s="58">
        <v>1</v>
      </c>
      <c r="S631" s="55">
        <v>0</v>
      </c>
      <c r="T631" s="59">
        <v>0</v>
      </c>
      <c r="U631" s="58">
        <v>1</v>
      </c>
      <c r="V631" s="55">
        <v>0</v>
      </c>
      <c r="W631" s="59">
        <v>0</v>
      </c>
      <c r="X631" s="58">
        <v>2</v>
      </c>
      <c r="Y631" s="55">
        <v>0</v>
      </c>
      <c r="Z631" s="59">
        <v>0</v>
      </c>
      <c r="AA631" s="58">
        <v>0</v>
      </c>
      <c r="AB631" s="55">
        <v>0</v>
      </c>
      <c r="AC631" s="59">
        <v>0</v>
      </c>
      <c r="AD631" s="58">
        <v>3</v>
      </c>
      <c r="AE631" s="55">
        <v>0</v>
      </c>
      <c r="AF631" s="59">
        <v>0</v>
      </c>
      <c r="AG631" s="58">
        <v>0</v>
      </c>
      <c r="AH631" s="55">
        <v>0</v>
      </c>
      <c r="AI631" s="59">
        <v>0</v>
      </c>
      <c r="AJ631" s="58">
        <v>5</v>
      </c>
      <c r="AK631" s="55">
        <v>0</v>
      </c>
      <c r="AL631" s="59">
        <v>0</v>
      </c>
    </row>
    <row r="632" spans="2:38" s="47" customFormat="1" ht="12.75">
      <c r="B632" s="6" t="s">
        <v>381</v>
      </c>
      <c r="C632" s="58">
        <v>0</v>
      </c>
      <c r="D632" s="54">
        <v>0</v>
      </c>
      <c r="E632" s="56">
        <v>0</v>
      </c>
      <c r="F632" s="58">
        <v>0</v>
      </c>
      <c r="G632" s="55">
        <v>0</v>
      </c>
      <c r="H632" s="59">
        <v>0</v>
      </c>
      <c r="I632" s="58">
        <v>0</v>
      </c>
      <c r="J632" s="55">
        <v>0</v>
      </c>
      <c r="K632" s="59">
        <v>0</v>
      </c>
      <c r="L632" s="58">
        <v>0</v>
      </c>
      <c r="M632" s="55">
        <v>0</v>
      </c>
      <c r="N632" s="59">
        <v>0</v>
      </c>
      <c r="O632" s="58">
        <v>0</v>
      </c>
      <c r="P632" s="55">
        <v>0</v>
      </c>
      <c r="Q632" s="59">
        <v>0</v>
      </c>
      <c r="R632" s="58">
        <v>0</v>
      </c>
      <c r="S632" s="55">
        <v>0</v>
      </c>
      <c r="T632" s="59">
        <v>0</v>
      </c>
      <c r="U632" s="58">
        <v>1</v>
      </c>
      <c r="V632" s="55">
        <v>0</v>
      </c>
      <c r="W632" s="59">
        <v>0</v>
      </c>
      <c r="X632" s="58">
        <v>0</v>
      </c>
      <c r="Y632" s="55">
        <v>0</v>
      </c>
      <c r="Z632" s="59">
        <v>0</v>
      </c>
      <c r="AA632" s="58">
        <v>0</v>
      </c>
      <c r="AB632" s="55">
        <v>0</v>
      </c>
      <c r="AC632" s="59">
        <v>0</v>
      </c>
      <c r="AD632" s="58">
        <v>1</v>
      </c>
      <c r="AE632" s="55">
        <v>0</v>
      </c>
      <c r="AF632" s="59">
        <v>0</v>
      </c>
      <c r="AG632" s="58">
        <v>0</v>
      </c>
      <c r="AH632" s="55">
        <v>0</v>
      </c>
      <c r="AI632" s="59">
        <v>0</v>
      </c>
      <c r="AJ632" s="58">
        <v>0</v>
      </c>
      <c r="AK632" s="55">
        <v>0</v>
      </c>
      <c r="AL632" s="59">
        <v>0</v>
      </c>
    </row>
    <row r="633" spans="2:38" s="47" customFormat="1" ht="12.75">
      <c r="B633" s="6" t="s">
        <v>382</v>
      </c>
      <c r="C633" s="58">
        <v>5</v>
      </c>
      <c r="D633" s="54">
        <v>3</v>
      </c>
      <c r="E633" s="56">
        <v>239</v>
      </c>
      <c r="F633" s="58">
        <v>6</v>
      </c>
      <c r="G633" s="55">
        <v>6</v>
      </c>
      <c r="H633" s="59">
        <v>162</v>
      </c>
      <c r="I633" s="58">
        <v>8</v>
      </c>
      <c r="J633" s="55">
        <v>5</v>
      </c>
      <c r="K633" s="59">
        <v>129</v>
      </c>
      <c r="L633" s="58">
        <v>6</v>
      </c>
      <c r="M633" s="55">
        <v>0</v>
      </c>
      <c r="N633" s="59">
        <v>0</v>
      </c>
      <c r="O633" s="58">
        <v>7</v>
      </c>
      <c r="P633" s="55">
        <v>0</v>
      </c>
      <c r="Q633" s="59">
        <v>0</v>
      </c>
      <c r="R633" s="58">
        <v>9</v>
      </c>
      <c r="S633" s="55">
        <v>0</v>
      </c>
      <c r="T633" s="59">
        <v>0</v>
      </c>
      <c r="U633" s="58">
        <v>0</v>
      </c>
      <c r="V633" s="55">
        <v>0</v>
      </c>
      <c r="W633" s="59">
        <v>0</v>
      </c>
      <c r="X633" s="58">
        <v>14</v>
      </c>
      <c r="Y633" s="55">
        <v>0</v>
      </c>
      <c r="Z633" s="59">
        <v>0</v>
      </c>
      <c r="AA633" s="58">
        <v>10</v>
      </c>
      <c r="AB633" s="55">
        <v>0</v>
      </c>
      <c r="AC633" s="59">
        <v>0</v>
      </c>
      <c r="AD633" s="58">
        <v>5</v>
      </c>
      <c r="AE633" s="55">
        <v>0</v>
      </c>
      <c r="AF633" s="59">
        <v>0</v>
      </c>
      <c r="AG633" s="58">
        <v>16</v>
      </c>
      <c r="AH633" s="55">
        <v>0</v>
      </c>
      <c r="AI633" s="59">
        <v>0</v>
      </c>
      <c r="AJ633" s="58">
        <v>10</v>
      </c>
      <c r="AK633" s="55">
        <v>0</v>
      </c>
      <c r="AL633" s="59">
        <v>0</v>
      </c>
    </row>
    <row r="634" spans="2:38" s="47" customFormat="1" ht="13.5" thickBot="1">
      <c r="B634" s="7" t="s">
        <v>383</v>
      </c>
      <c r="C634" s="81">
        <v>0</v>
      </c>
      <c r="D634" s="91">
        <v>0</v>
      </c>
      <c r="E634" s="71">
        <v>0</v>
      </c>
      <c r="F634" s="81">
        <v>0</v>
      </c>
      <c r="G634" s="70">
        <v>0</v>
      </c>
      <c r="H634" s="82">
        <v>0</v>
      </c>
      <c r="I634" s="81">
        <v>0</v>
      </c>
      <c r="J634" s="70">
        <v>0</v>
      </c>
      <c r="K634" s="82">
        <v>0</v>
      </c>
      <c r="L634" s="81">
        <v>0</v>
      </c>
      <c r="M634" s="70">
        <v>0</v>
      </c>
      <c r="N634" s="82">
        <v>0</v>
      </c>
      <c r="O634" s="81">
        <v>1</v>
      </c>
      <c r="P634" s="70">
        <v>0</v>
      </c>
      <c r="Q634" s="82">
        <v>0</v>
      </c>
      <c r="R634" s="81">
        <v>1</v>
      </c>
      <c r="S634" s="70">
        <v>0</v>
      </c>
      <c r="T634" s="82">
        <v>0</v>
      </c>
      <c r="U634" s="81">
        <v>0</v>
      </c>
      <c r="V634" s="70">
        <v>0</v>
      </c>
      <c r="W634" s="82">
        <v>0</v>
      </c>
      <c r="X634" s="81">
        <v>0</v>
      </c>
      <c r="Y634" s="70">
        <v>0</v>
      </c>
      <c r="Z634" s="82">
        <v>0</v>
      </c>
      <c r="AA634" s="81">
        <v>0</v>
      </c>
      <c r="AB634" s="70">
        <v>0</v>
      </c>
      <c r="AC634" s="82">
        <v>0</v>
      </c>
      <c r="AD634" s="81">
        <v>1</v>
      </c>
      <c r="AE634" s="70">
        <v>0</v>
      </c>
      <c r="AF634" s="82">
        <v>0</v>
      </c>
      <c r="AG634" s="81">
        <v>0</v>
      </c>
      <c r="AH634" s="70">
        <v>0</v>
      </c>
      <c r="AI634" s="82">
        <v>0</v>
      </c>
      <c r="AJ634" s="81">
        <v>0</v>
      </c>
      <c r="AK634" s="70">
        <v>0</v>
      </c>
      <c r="AL634" s="82">
        <v>0</v>
      </c>
    </row>
    <row r="635" spans="2:38" s="47" customFormat="1" ht="13.5" thickBot="1">
      <c r="B635" s="83" t="s">
        <v>0</v>
      </c>
      <c r="C635" s="44">
        <f aca="true" t="shared" si="42" ref="C635:AL635">SUM(C622:C634)</f>
        <v>12</v>
      </c>
      <c r="D635" s="51">
        <f t="shared" si="42"/>
        <v>3</v>
      </c>
      <c r="E635" s="52">
        <f t="shared" si="42"/>
        <v>662</v>
      </c>
      <c r="F635" s="109">
        <f t="shared" si="42"/>
        <v>14</v>
      </c>
      <c r="G635" s="51">
        <f t="shared" si="42"/>
        <v>14</v>
      </c>
      <c r="H635" s="93">
        <f t="shared" si="42"/>
        <v>644</v>
      </c>
      <c r="I635" s="245">
        <f t="shared" si="42"/>
        <v>15</v>
      </c>
      <c r="J635" s="51">
        <f t="shared" si="42"/>
        <v>9</v>
      </c>
      <c r="K635" s="93">
        <f t="shared" si="42"/>
        <v>501</v>
      </c>
      <c r="L635" s="245">
        <f t="shared" si="42"/>
        <v>16</v>
      </c>
      <c r="M635" s="51">
        <f t="shared" si="42"/>
        <v>0</v>
      </c>
      <c r="N635" s="93">
        <f t="shared" si="42"/>
        <v>111</v>
      </c>
      <c r="O635" s="245">
        <f t="shared" si="42"/>
        <v>16</v>
      </c>
      <c r="P635" s="51">
        <f t="shared" si="42"/>
        <v>0</v>
      </c>
      <c r="Q635" s="93">
        <f t="shared" si="42"/>
        <v>16</v>
      </c>
      <c r="R635" s="245">
        <f t="shared" si="42"/>
        <v>18</v>
      </c>
      <c r="S635" s="51">
        <f t="shared" si="42"/>
        <v>0</v>
      </c>
      <c r="T635" s="93">
        <f t="shared" si="42"/>
        <v>7</v>
      </c>
      <c r="U635" s="245">
        <f t="shared" si="42"/>
        <v>7</v>
      </c>
      <c r="V635" s="51">
        <f t="shared" si="42"/>
        <v>0</v>
      </c>
      <c r="W635" s="93">
        <f t="shared" si="42"/>
        <v>15</v>
      </c>
      <c r="X635" s="245">
        <f t="shared" si="42"/>
        <v>24</v>
      </c>
      <c r="Y635" s="51">
        <f t="shared" si="42"/>
        <v>0</v>
      </c>
      <c r="Z635" s="93">
        <f t="shared" si="42"/>
        <v>13</v>
      </c>
      <c r="AA635" s="245">
        <f t="shared" si="42"/>
        <v>15</v>
      </c>
      <c r="AB635" s="51">
        <f t="shared" si="42"/>
        <v>0</v>
      </c>
      <c r="AC635" s="93">
        <f t="shared" si="42"/>
        <v>5</v>
      </c>
      <c r="AD635" s="245">
        <f t="shared" si="42"/>
        <v>15</v>
      </c>
      <c r="AE635" s="51">
        <f t="shared" si="42"/>
        <v>0</v>
      </c>
      <c r="AF635" s="93">
        <f t="shared" si="42"/>
        <v>5</v>
      </c>
      <c r="AG635" s="245">
        <f t="shared" si="42"/>
        <v>26</v>
      </c>
      <c r="AH635" s="51">
        <f t="shared" si="42"/>
        <v>0</v>
      </c>
      <c r="AI635" s="93">
        <f t="shared" si="42"/>
        <v>3</v>
      </c>
      <c r="AJ635" s="245">
        <f t="shared" si="42"/>
        <v>18</v>
      </c>
      <c r="AK635" s="51">
        <f t="shared" si="42"/>
        <v>0</v>
      </c>
      <c r="AL635" s="93">
        <f t="shared" si="42"/>
        <v>4</v>
      </c>
    </row>
    <row r="636" s="47" customFormat="1" ht="12.75"/>
    <row r="637" spans="2:5" s="47" customFormat="1" ht="12.75">
      <c r="B637" s="383" t="s">
        <v>415</v>
      </c>
      <c r="C637" s="383"/>
      <c r="D637" s="383"/>
      <c r="E637" s="383"/>
    </row>
    <row r="638" s="47" customFormat="1" ht="12.75"/>
    <row r="639" spans="2:5" s="47" customFormat="1" ht="12.75">
      <c r="B639" s="383" t="s">
        <v>26</v>
      </c>
      <c r="C639" s="383"/>
      <c r="D639" s="383"/>
      <c r="E639" s="383"/>
    </row>
    <row r="640" spans="2:5" s="47" customFormat="1" ht="12.75">
      <c r="B640" s="60"/>
      <c r="C640" s="60"/>
      <c r="D640" s="60"/>
      <c r="E640" s="60"/>
    </row>
    <row r="641" spans="2:5" s="47" customFormat="1" ht="12.75">
      <c r="B641" s="383" t="s">
        <v>41</v>
      </c>
      <c r="C641" s="383"/>
      <c r="D641" s="383"/>
      <c r="E641" s="383"/>
    </row>
    <row r="642" spans="2:5" s="47" customFormat="1" ht="12.75">
      <c r="B642" s="60"/>
      <c r="C642" s="60"/>
      <c r="D642" s="60"/>
      <c r="E642" s="60"/>
    </row>
    <row r="643" spans="2:5" s="47" customFormat="1" ht="12.75">
      <c r="B643" s="383" t="s">
        <v>86</v>
      </c>
      <c r="C643" s="383"/>
      <c r="D643" s="383"/>
      <c r="E643" s="383"/>
    </row>
    <row r="644" spans="2:5" s="47" customFormat="1" ht="12.75">
      <c r="B644" s="60"/>
      <c r="C644" s="60"/>
      <c r="D644" s="60"/>
      <c r="E644" s="60"/>
    </row>
    <row r="645" spans="2:5" s="47" customFormat="1" ht="12.75">
      <c r="B645" s="383">
        <v>2016</v>
      </c>
      <c r="C645" s="383"/>
      <c r="D645" s="383"/>
      <c r="E645" s="383"/>
    </row>
    <row r="646" spans="2:5" s="47" customFormat="1" ht="13.5" thickBot="1">
      <c r="B646" s="4"/>
      <c r="C646" s="4"/>
      <c r="D646" s="4"/>
      <c r="E646" s="4"/>
    </row>
    <row r="647" spans="2:38" s="47" customFormat="1" ht="13.5" customHeight="1" thickBot="1">
      <c r="B647" s="377" t="s">
        <v>394</v>
      </c>
      <c r="C647" s="374" t="s">
        <v>7</v>
      </c>
      <c r="D647" s="375"/>
      <c r="E647" s="376"/>
      <c r="F647" s="374" t="s">
        <v>433</v>
      </c>
      <c r="G647" s="375"/>
      <c r="H647" s="376"/>
      <c r="I647" s="374" t="s">
        <v>434</v>
      </c>
      <c r="J647" s="375"/>
      <c r="K647" s="376"/>
      <c r="L647" s="374" t="s">
        <v>435</v>
      </c>
      <c r="M647" s="375"/>
      <c r="N647" s="376"/>
      <c r="O647" s="374" t="s">
        <v>436</v>
      </c>
      <c r="P647" s="375"/>
      <c r="Q647" s="376"/>
      <c r="R647" s="374" t="s">
        <v>437</v>
      </c>
      <c r="S647" s="375"/>
      <c r="T647" s="376"/>
      <c r="U647" s="374" t="s">
        <v>438</v>
      </c>
      <c r="V647" s="375"/>
      <c r="W647" s="376"/>
      <c r="X647" s="374" t="s">
        <v>439</v>
      </c>
      <c r="Y647" s="375"/>
      <c r="Z647" s="376"/>
      <c r="AA647" s="374" t="s">
        <v>440</v>
      </c>
      <c r="AB647" s="375"/>
      <c r="AC647" s="376"/>
      <c r="AD647" s="374" t="s">
        <v>441</v>
      </c>
      <c r="AE647" s="375"/>
      <c r="AF647" s="376"/>
      <c r="AG647" s="374" t="s">
        <v>442</v>
      </c>
      <c r="AH647" s="375"/>
      <c r="AI647" s="376"/>
      <c r="AJ647" s="374" t="s">
        <v>443</v>
      </c>
      <c r="AK647" s="375"/>
      <c r="AL647" s="376"/>
    </row>
    <row r="648" spans="2:38" s="47" customFormat="1" ht="12.75" customHeight="1">
      <c r="B648" s="378"/>
      <c r="C648" s="367" t="s">
        <v>66</v>
      </c>
      <c r="D648" s="370" t="s">
        <v>67</v>
      </c>
      <c r="E648" s="371"/>
      <c r="F648" s="367" t="s">
        <v>66</v>
      </c>
      <c r="G648" s="370" t="s">
        <v>67</v>
      </c>
      <c r="H648" s="371"/>
      <c r="I648" s="367" t="s">
        <v>66</v>
      </c>
      <c r="J648" s="370" t="s">
        <v>67</v>
      </c>
      <c r="K648" s="371"/>
      <c r="L648" s="367" t="s">
        <v>66</v>
      </c>
      <c r="M648" s="370" t="s">
        <v>67</v>
      </c>
      <c r="N648" s="371"/>
      <c r="O648" s="367" t="s">
        <v>66</v>
      </c>
      <c r="P648" s="370" t="s">
        <v>67</v>
      </c>
      <c r="Q648" s="371"/>
      <c r="R648" s="367" t="s">
        <v>66</v>
      </c>
      <c r="S648" s="370" t="s">
        <v>67</v>
      </c>
      <c r="T648" s="371"/>
      <c r="U648" s="367" t="s">
        <v>66</v>
      </c>
      <c r="V648" s="370" t="s">
        <v>67</v>
      </c>
      <c r="W648" s="371"/>
      <c r="X648" s="367" t="s">
        <v>66</v>
      </c>
      <c r="Y648" s="370" t="s">
        <v>67</v>
      </c>
      <c r="Z648" s="371"/>
      <c r="AA648" s="367" t="s">
        <v>66</v>
      </c>
      <c r="AB648" s="370" t="s">
        <v>67</v>
      </c>
      <c r="AC648" s="371"/>
      <c r="AD648" s="367" t="s">
        <v>66</v>
      </c>
      <c r="AE648" s="370" t="s">
        <v>67</v>
      </c>
      <c r="AF648" s="371"/>
      <c r="AG648" s="367" t="s">
        <v>66</v>
      </c>
      <c r="AH648" s="370" t="s">
        <v>67</v>
      </c>
      <c r="AI648" s="371"/>
      <c r="AJ648" s="367" t="s">
        <v>66</v>
      </c>
      <c r="AK648" s="370" t="s">
        <v>67</v>
      </c>
      <c r="AL648" s="371"/>
    </row>
    <row r="649" spans="2:38" s="47" customFormat="1" ht="13.5" thickBot="1">
      <c r="B649" s="379"/>
      <c r="C649" s="368"/>
      <c r="D649" s="372"/>
      <c r="E649" s="373"/>
      <c r="F649" s="368"/>
      <c r="G649" s="372"/>
      <c r="H649" s="373"/>
      <c r="I649" s="368"/>
      <c r="J649" s="372"/>
      <c r="K649" s="373"/>
      <c r="L649" s="368"/>
      <c r="M649" s="372"/>
      <c r="N649" s="373"/>
      <c r="O649" s="368"/>
      <c r="P649" s="372"/>
      <c r="Q649" s="373"/>
      <c r="R649" s="368"/>
      <c r="S649" s="372"/>
      <c r="T649" s="373"/>
      <c r="U649" s="368"/>
      <c r="V649" s="372"/>
      <c r="W649" s="373"/>
      <c r="X649" s="368"/>
      <c r="Y649" s="372"/>
      <c r="Z649" s="373"/>
      <c r="AA649" s="368"/>
      <c r="AB649" s="372"/>
      <c r="AC649" s="373"/>
      <c r="AD649" s="368"/>
      <c r="AE649" s="372"/>
      <c r="AF649" s="373"/>
      <c r="AG649" s="368"/>
      <c r="AH649" s="372"/>
      <c r="AI649" s="373"/>
      <c r="AJ649" s="368"/>
      <c r="AK649" s="372"/>
      <c r="AL649" s="373"/>
    </row>
    <row r="650" spans="2:38" s="47" customFormat="1" ht="26.25" thickBot="1">
      <c r="B650" s="380"/>
      <c r="C650" s="96" t="s">
        <v>68</v>
      </c>
      <c r="D650" s="97" t="s">
        <v>69</v>
      </c>
      <c r="E650" s="98" t="s">
        <v>70</v>
      </c>
      <c r="F650" s="96" t="s">
        <v>68</v>
      </c>
      <c r="G650" s="97" t="s">
        <v>69</v>
      </c>
      <c r="H650" s="98" t="s">
        <v>70</v>
      </c>
      <c r="I650" s="96" t="s">
        <v>68</v>
      </c>
      <c r="J650" s="97" t="s">
        <v>69</v>
      </c>
      <c r="K650" s="98" t="s">
        <v>70</v>
      </c>
      <c r="L650" s="96" t="s">
        <v>68</v>
      </c>
      <c r="M650" s="97" t="s">
        <v>69</v>
      </c>
      <c r="N650" s="98" t="s">
        <v>70</v>
      </c>
      <c r="O650" s="96" t="s">
        <v>68</v>
      </c>
      <c r="P650" s="97" t="s">
        <v>69</v>
      </c>
      <c r="Q650" s="98" t="s">
        <v>70</v>
      </c>
      <c r="R650" s="96" t="s">
        <v>68</v>
      </c>
      <c r="S650" s="97" t="s">
        <v>69</v>
      </c>
      <c r="T650" s="98" t="s">
        <v>70</v>
      </c>
      <c r="U650" s="96" t="s">
        <v>68</v>
      </c>
      <c r="V650" s="97" t="s">
        <v>69</v>
      </c>
      <c r="W650" s="98" t="s">
        <v>70</v>
      </c>
      <c r="X650" s="96" t="s">
        <v>68</v>
      </c>
      <c r="Y650" s="97" t="s">
        <v>69</v>
      </c>
      <c r="Z650" s="98" t="s">
        <v>70</v>
      </c>
      <c r="AA650" s="96" t="s">
        <v>68</v>
      </c>
      <c r="AB650" s="97" t="s">
        <v>69</v>
      </c>
      <c r="AC650" s="98" t="s">
        <v>70</v>
      </c>
      <c r="AD650" s="96" t="s">
        <v>68</v>
      </c>
      <c r="AE650" s="97" t="s">
        <v>69</v>
      </c>
      <c r="AF650" s="98" t="s">
        <v>70</v>
      </c>
      <c r="AG650" s="96" t="s">
        <v>68</v>
      </c>
      <c r="AH650" s="97" t="s">
        <v>69</v>
      </c>
      <c r="AI650" s="98" t="s">
        <v>70</v>
      </c>
      <c r="AJ650" s="96" t="s">
        <v>68</v>
      </c>
      <c r="AK650" s="97" t="s">
        <v>69</v>
      </c>
      <c r="AL650" s="98" t="s">
        <v>70</v>
      </c>
    </row>
    <row r="651" spans="2:38" s="47" customFormat="1" ht="12.75">
      <c r="B651" s="5" t="s">
        <v>384</v>
      </c>
      <c r="C651" s="76">
        <v>0</v>
      </c>
      <c r="D651" s="65">
        <v>0</v>
      </c>
      <c r="E651" s="77">
        <v>0</v>
      </c>
      <c r="F651" s="76">
        <v>0</v>
      </c>
      <c r="G651" s="65">
        <v>0</v>
      </c>
      <c r="H651" s="77">
        <v>0</v>
      </c>
      <c r="I651" s="76">
        <v>0</v>
      </c>
      <c r="J651" s="65">
        <v>0</v>
      </c>
      <c r="K651" s="77">
        <v>0</v>
      </c>
      <c r="L651" s="76">
        <v>1</v>
      </c>
      <c r="M651" s="65">
        <v>0</v>
      </c>
      <c r="N651" s="77">
        <v>0</v>
      </c>
      <c r="O651" s="76">
        <v>0</v>
      </c>
      <c r="P651" s="65">
        <v>0</v>
      </c>
      <c r="Q651" s="77">
        <v>0</v>
      </c>
      <c r="R651" s="76">
        <v>1</v>
      </c>
      <c r="S651" s="65">
        <v>0</v>
      </c>
      <c r="T651" s="77">
        <v>0</v>
      </c>
      <c r="U651" s="76">
        <v>1</v>
      </c>
      <c r="V651" s="65">
        <v>0</v>
      </c>
      <c r="W651" s="77">
        <v>0</v>
      </c>
      <c r="X651" s="76">
        <v>2</v>
      </c>
      <c r="Y651" s="65">
        <v>0</v>
      </c>
      <c r="Z651" s="77">
        <v>0</v>
      </c>
      <c r="AA651" s="76">
        <v>1</v>
      </c>
      <c r="AB651" s="65">
        <v>0</v>
      </c>
      <c r="AC651" s="77">
        <v>0</v>
      </c>
      <c r="AD651" s="76">
        <v>0</v>
      </c>
      <c r="AE651" s="65">
        <v>0</v>
      </c>
      <c r="AF651" s="77">
        <v>0</v>
      </c>
      <c r="AG651" s="76">
        <v>0</v>
      </c>
      <c r="AH651" s="65">
        <v>0</v>
      </c>
      <c r="AI651" s="77">
        <v>0</v>
      </c>
      <c r="AJ651" s="76">
        <v>1</v>
      </c>
      <c r="AK651" s="65">
        <v>0</v>
      </c>
      <c r="AL651" s="77">
        <v>0</v>
      </c>
    </row>
    <row r="652" spans="2:38" s="47" customFormat="1" ht="12.75">
      <c r="B652" s="6" t="s">
        <v>385</v>
      </c>
      <c r="C652" s="58">
        <v>0</v>
      </c>
      <c r="D652" s="55">
        <v>0</v>
      </c>
      <c r="E652" s="59">
        <v>0</v>
      </c>
      <c r="F652" s="58">
        <v>0</v>
      </c>
      <c r="G652" s="55">
        <v>0</v>
      </c>
      <c r="H652" s="59">
        <v>0</v>
      </c>
      <c r="I652" s="58">
        <v>0</v>
      </c>
      <c r="J652" s="55">
        <v>0</v>
      </c>
      <c r="K652" s="59">
        <v>0</v>
      </c>
      <c r="L652" s="58">
        <v>2</v>
      </c>
      <c r="M652" s="55">
        <v>0</v>
      </c>
      <c r="N652" s="59">
        <v>0</v>
      </c>
      <c r="O652" s="58">
        <v>1</v>
      </c>
      <c r="P652" s="55">
        <v>0</v>
      </c>
      <c r="Q652" s="59">
        <v>0</v>
      </c>
      <c r="R652" s="58">
        <v>1</v>
      </c>
      <c r="S652" s="55">
        <v>0</v>
      </c>
      <c r="T652" s="59">
        <v>0</v>
      </c>
      <c r="U652" s="58">
        <v>0</v>
      </c>
      <c r="V652" s="55">
        <v>0</v>
      </c>
      <c r="W652" s="59">
        <v>0</v>
      </c>
      <c r="X652" s="58">
        <v>3</v>
      </c>
      <c r="Y652" s="55">
        <v>0</v>
      </c>
      <c r="Z652" s="59">
        <v>0</v>
      </c>
      <c r="AA652" s="58">
        <v>2</v>
      </c>
      <c r="AB652" s="55">
        <v>0</v>
      </c>
      <c r="AC652" s="59">
        <v>0</v>
      </c>
      <c r="AD652" s="58">
        <v>1</v>
      </c>
      <c r="AE652" s="55">
        <v>0</v>
      </c>
      <c r="AF652" s="59">
        <v>0</v>
      </c>
      <c r="AG652" s="58">
        <v>2</v>
      </c>
      <c r="AH652" s="55">
        <v>0</v>
      </c>
      <c r="AI652" s="59">
        <v>0</v>
      </c>
      <c r="AJ652" s="58">
        <v>1</v>
      </c>
      <c r="AK652" s="55">
        <v>0</v>
      </c>
      <c r="AL652" s="59">
        <v>0</v>
      </c>
    </row>
    <row r="653" spans="2:38" s="47" customFormat="1" ht="12.75">
      <c r="B653" s="6" t="s">
        <v>386</v>
      </c>
      <c r="C653" s="58">
        <v>1</v>
      </c>
      <c r="D653" s="55">
        <v>0</v>
      </c>
      <c r="E653" s="59">
        <v>13</v>
      </c>
      <c r="F653" s="58">
        <v>0</v>
      </c>
      <c r="G653" s="55">
        <v>0</v>
      </c>
      <c r="H653" s="59">
        <v>10</v>
      </c>
      <c r="I653" s="58">
        <v>0</v>
      </c>
      <c r="J653" s="55">
        <v>0</v>
      </c>
      <c r="K653" s="59">
        <v>5</v>
      </c>
      <c r="L653" s="58">
        <v>0</v>
      </c>
      <c r="M653" s="55">
        <v>0</v>
      </c>
      <c r="N653" s="59">
        <v>0</v>
      </c>
      <c r="O653" s="58">
        <v>0</v>
      </c>
      <c r="P653" s="55">
        <v>0</v>
      </c>
      <c r="Q653" s="59">
        <v>0</v>
      </c>
      <c r="R653" s="58">
        <v>0</v>
      </c>
      <c r="S653" s="55">
        <v>0</v>
      </c>
      <c r="T653" s="59">
        <v>0</v>
      </c>
      <c r="U653" s="58">
        <v>0</v>
      </c>
      <c r="V653" s="55">
        <v>0</v>
      </c>
      <c r="W653" s="59">
        <v>0</v>
      </c>
      <c r="X653" s="58">
        <v>0</v>
      </c>
      <c r="Y653" s="55">
        <v>0</v>
      </c>
      <c r="Z653" s="59">
        <v>0</v>
      </c>
      <c r="AA653" s="58">
        <v>0</v>
      </c>
      <c r="AB653" s="55">
        <v>0</v>
      </c>
      <c r="AC653" s="59">
        <v>0</v>
      </c>
      <c r="AD653" s="58">
        <v>0</v>
      </c>
      <c r="AE653" s="55">
        <v>0</v>
      </c>
      <c r="AF653" s="59">
        <v>0</v>
      </c>
      <c r="AG653" s="58">
        <v>0</v>
      </c>
      <c r="AH653" s="55">
        <v>0</v>
      </c>
      <c r="AI653" s="59">
        <v>0</v>
      </c>
      <c r="AJ653" s="58">
        <v>0</v>
      </c>
      <c r="AK653" s="55">
        <v>0</v>
      </c>
      <c r="AL653" s="59">
        <v>0</v>
      </c>
    </row>
    <row r="654" spans="2:38" s="47" customFormat="1" ht="12.75">
      <c r="B654" s="6" t="s">
        <v>387</v>
      </c>
      <c r="C654" s="58">
        <v>0</v>
      </c>
      <c r="D654" s="55">
        <v>0</v>
      </c>
      <c r="E654" s="59">
        <v>7</v>
      </c>
      <c r="F654" s="58">
        <v>0</v>
      </c>
      <c r="G654" s="55">
        <v>0</v>
      </c>
      <c r="H654" s="59">
        <v>7</v>
      </c>
      <c r="I654" s="58">
        <v>1</v>
      </c>
      <c r="J654" s="55">
        <v>0</v>
      </c>
      <c r="K654" s="59">
        <v>6</v>
      </c>
      <c r="L654" s="58">
        <v>0</v>
      </c>
      <c r="M654" s="55">
        <v>0</v>
      </c>
      <c r="N654" s="59">
        <v>0</v>
      </c>
      <c r="O654" s="58">
        <v>1</v>
      </c>
      <c r="P654" s="55">
        <v>0</v>
      </c>
      <c r="Q654" s="59">
        <v>0</v>
      </c>
      <c r="R654" s="58">
        <v>2</v>
      </c>
      <c r="S654" s="55">
        <v>0</v>
      </c>
      <c r="T654" s="59">
        <v>0</v>
      </c>
      <c r="U654" s="58">
        <v>1</v>
      </c>
      <c r="V654" s="55">
        <v>0</v>
      </c>
      <c r="W654" s="59">
        <v>0</v>
      </c>
      <c r="X654" s="58">
        <v>0</v>
      </c>
      <c r="Y654" s="55">
        <v>0</v>
      </c>
      <c r="Z654" s="59">
        <v>0</v>
      </c>
      <c r="AA654" s="58">
        <v>0</v>
      </c>
      <c r="AB654" s="55">
        <v>0</v>
      </c>
      <c r="AC654" s="59">
        <v>0</v>
      </c>
      <c r="AD654" s="58">
        <v>0</v>
      </c>
      <c r="AE654" s="55">
        <v>0</v>
      </c>
      <c r="AF654" s="59">
        <v>0</v>
      </c>
      <c r="AG654" s="58">
        <v>0</v>
      </c>
      <c r="AH654" s="55">
        <v>0</v>
      </c>
      <c r="AI654" s="59">
        <v>0</v>
      </c>
      <c r="AJ654" s="58">
        <v>0</v>
      </c>
      <c r="AK654" s="55">
        <v>0</v>
      </c>
      <c r="AL654" s="59">
        <v>0</v>
      </c>
    </row>
    <row r="655" spans="2:38" s="47" customFormat="1" ht="12.75">
      <c r="B655" s="6" t="s">
        <v>388</v>
      </c>
      <c r="C655" s="58">
        <v>0</v>
      </c>
      <c r="D655" s="55">
        <v>0</v>
      </c>
      <c r="E655" s="59">
        <v>112</v>
      </c>
      <c r="F655" s="58">
        <v>2</v>
      </c>
      <c r="G655" s="55">
        <v>1</v>
      </c>
      <c r="H655" s="59">
        <v>112</v>
      </c>
      <c r="I655" s="58">
        <v>3</v>
      </c>
      <c r="J655" s="55">
        <v>0</v>
      </c>
      <c r="K655" s="59">
        <v>65</v>
      </c>
      <c r="L655" s="58">
        <v>2</v>
      </c>
      <c r="M655" s="55">
        <v>0</v>
      </c>
      <c r="N655" s="59">
        <v>0</v>
      </c>
      <c r="O655" s="58">
        <v>0</v>
      </c>
      <c r="P655" s="55">
        <v>0</v>
      </c>
      <c r="Q655" s="59">
        <v>0</v>
      </c>
      <c r="R655" s="58">
        <v>5</v>
      </c>
      <c r="S655" s="55">
        <v>0</v>
      </c>
      <c r="T655" s="59">
        <v>0</v>
      </c>
      <c r="U655" s="58">
        <v>9</v>
      </c>
      <c r="V655" s="55">
        <v>0</v>
      </c>
      <c r="W655" s="59">
        <v>0</v>
      </c>
      <c r="X655" s="58">
        <v>4</v>
      </c>
      <c r="Y655" s="55">
        <v>0</v>
      </c>
      <c r="Z655" s="59">
        <v>0</v>
      </c>
      <c r="AA655" s="58">
        <v>1</v>
      </c>
      <c r="AB655" s="55">
        <v>0</v>
      </c>
      <c r="AC655" s="59">
        <v>0</v>
      </c>
      <c r="AD655" s="58">
        <v>6</v>
      </c>
      <c r="AE655" s="55">
        <v>0</v>
      </c>
      <c r="AF655" s="59">
        <v>0</v>
      </c>
      <c r="AG655" s="58">
        <v>2</v>
      </c>
      <c r="AH655" s="55">
        <v>0</v>
      </c>
      <c r="AI655" s="59">
        <v>0</v>
      </c>
      <c r="AJ655" s="58">
        <v>2</v>
      </c>
      <c r="AK655" s="55">
        <v>0</v>
      </c>
      <c r="AL655" s="59">
        <v>0</v>
      </c>
    </row>
    <row r="656" spans="2:38" s="47" customFormat="1" ht="12.75">
      <c r="B656" s="6" t="s">
        <v>389</v>
      </c>
      <c r="C656" s="58">
        <v>0</v>
      </c>
      <c r="D656" s="55">
        <v>0</v>
      </c>
      <c r="E656" s="59">
        <v>11</v>
      </c>
      <c r="F656" s="58">
        <v>0</v>
      </c>
      <c r="G656" s="55">
        <v>0</v>
      </c>
      <c r="H656" s="59">
        <v>7</v>
      </c>
      <c r="I656" s="58">
        <v>0</v>
      </c>
      <c r="J656" s="55">
        <v>0</v>
      </c>
      <c r="K656" s="59">
        <v>6</v>
      </c>
      <c r="L656" s="58">
        <v>0</v>
      </c>
      <c r="M656" s="55">
        <v>0</v>
      </c>
      <c r="N656" s="59">
        <v>9</v>
      </c>
      <c r="O656" s="58">
        <v>0</v>
      </c>
      <c r="P656" s="55">
        <v>0</v>
      </c>
      <c r="Q656" s="59">
        <v>8</v>
      </c>
      <c r="R656" s="58">
        <v>0</v>
      </c>
      <c r="S656" s="55">
        <v>0</v>
      </c>
      <c r="T656" s="59">
        <v>14</v>
      </c>
      <c r="U656" s="58">
        <v>0</v>
      </c>
      <c r="V656" s="55">
        <v>0</v>
      </c>
      <c r="W656" s="59">
        <v>15</v>
      </c>
      <c r="X656" s="58">
        <v>0</v>
      </c>
      <c r="Y656" s="55">
        <v>0</v>
      </c>
      <c r="Z656" s="59">
        <v>10</v>
      </c>
      <c r="AA656" s="58">
        <v>0</v>
      </c>
      <c r="AB656" s="55">
        <v>0</v>
      </c>
      <c r="AC656" s="59">
        <v>3</v>
      </c>
      <c r="AD656" s="58">
        <v>0</v>
      </c>
      <c r="AE656" s="55">
        <v>0</v>
      </c>
      <c r="AF656" s="59">
        <v>3</v>
      </c>
      <c r="AG656" s="58">
        <v>0</v>
      </c>
      <c r="AH656" s="55">
        <v>0</v>
      </c>
      <c r="AI656" s="59">
        <v>1</v>
      </c>
      <c r="AJ656" s="58">
        <v>0</v>
      </c>
      <c r="AK656" s="55">
        <v>0</v>
      </c>
      <c r="AL656" s="59">
        <v>1</v>
      </c>
    </row>
    <row r="657" spans="2:38" s="47" customFormat="1" ht="12.75">
      <c r="B657" s="6" t="s">
        <v>390</v>
      </c>
      <c r="C657" s="58">
        <v>0</v>
      </c>
      <c r="D657" s="55">
        <v>0</v>
      </c>
      <c r="E657" s="59">
        <v>0</v>
      </c>
      <c r="F657" s="58">
        <v>0</v>
      </c>
      <c r="G657" s="55">
        <v>0</v>
      </c>
      <c r="H657" s="59">
        <v>17</v>
      </c>
      <c r="I657" s="58">
        <v>0</v>
      </c>
      <c r="J657" s="55">
        <v>0</v>
      </c>
      <c r="K657" s="59">
        <v>21</v>
      </c>
      <c r="L657" s="58">
        <v>0</v>
      </c>
      <c r="M657" s="55">
        <v>0</v>
      </c>
      <c r="N657" s="59">
        <v>23</v>
      </c>
      <c r="O657" s="58">
        <v>0</v>
      </c>
      <c r="P657" s="55">
        <v>0</v>
      </c>
      <c r="Q657" s="59">
        <v>7</v>
      </c>
      <c r="R657" s="58">
        <v>0</v>
      </c>
      <c r="S657" s="55">
        <v>0</v>
      </c>
      <c r="T657" s="59">
        <v>7</v>
      </c>
      <c r="U657" s="58">
        <v>0</v>
      </c>
      <c r="V657" s="55">
        <v>0</v>
      </c>
      <c r="W657" s="59">
        <v>17</v>
      </c>
      <c r="X657" s="58">
        <v>0</v>
      </c>
      <c r="Y657" s="55">
        <v>0</v>
      </c>
      <c r="Z657" s="59">
        <v>9</v>
      </c>
      <c r="AA657" s="58">
        <v>0</v>
      </c>
      <c r="AB657" s="55">
        <v>0</v>
      </c>
      <c r="AC657" s="59">
        <v>10</v>
      </c>
      <c r="AD657" s="58">
        <v>0</v>
      </c>
      <c r="AE657" s="55">
        <v>0</v>
      </c>
      <c r="AF657" s="59">
        <v>5</v>
      </c>
      <c r="AG657" s="58">
        <v>0</v>
      </c>
      <c r="AH657" s="55">
        <v>0</v>
      </c>
      <c r="AI657" s="59">
        <v>7</v>
      </c>
      <c r="AJ657" s="58">
        <v>0</v>
      </c>
      <c r="AK657" s="55">
        <v>0</v>
      </c>
      <c r="AL657" s="59">
        <v>6</v>
      </c>
    </row>
    <row r="658" spans="2:38" s="47" customFormat="1" ht="12.75">
      <c r="B658" s="6" t="s">
        <v>391</v>
      </c>
      <c r="C658" s="58">
        <v>7</v>
      </c>
      <c r="D658" s="55">
        <v>0</v>
      </c>
      <c r="E658" s="59">
        <v>196</v>
      </c>
      <c r="F658" s="58">
        <v>7</v>
      </c>
      <c r="G658" s="55">
        <v>2</v>
      </c>
      <c r="H658" s="59">
        <v>124</v>
      </c>
      <c r="I658" s="58">
        <v>2</v>
      </c>
      <c r="J658" s="55">
        <v>1</v>
      </c>
      <c r="K658" s="59">
        <v>88</v>
      </c>
      <c r="L658" s="58">
        <v>4</v>
      </c>
      <c r="M658" s="55">
        <v>0</v>
      </c>
      <c r="N658" s="59">
        <v>0</v>
      </c>
      <c r="O658" s="58">
        <v>1</v>
      </c>
      <c r="P658" s="55">
        <v>0</v>
      </c>
      <c r="Q658" s="59">
        <v>0</v>
      </c>
      <c r="R658" s="58">
        <v>4</v>
      </c>
      <c r="S658" s="55">
        <v>0</v>
      </c>
      <c r="T658" s="59">
        <v>0</v>
      </c>
      <c r="U658" s="58">
        <v>2</v>
      </c>
      <c r="V658" s="55">
        <v>0</v>
      </c>
      <c r="W658" s="59">
        <v>0</v>
      </c>
      <c r="X658" s="58">
        <v>5</v>
      </c>
      <c r="Y658" s="55">
        <v>0</v>
      </c>
      <c r="Z658" s="59">
        <v>0</v>
      </c>
      <c r="AA658" s="58">
        <v>6</v>
      </c>
      <c r="AB658" s="55">
        <v>0</v>
      </c>
      <c r="AC658" s="59">
        <v>0</v>
      </c>
      <c r="AD658" s="58">
        <v>4</v>
      </c>
      <c r="AE658" s="55">
        <v>0</v>
      </c>
      <c r="AF658" s="59">
        <v>0</v>
      </c>
      <c r="AG658" s="58">
        <v>2</v>
      </c>
      <c r="AH658" s="55">
        <v>0</v>
      </c>
      <c r="AI658" s="59">
        <v>0</v>
      </c>
      <c r="AJ658" s="58">
        <v>15</v>
      </c>
      <c r="AK658" s="55">
        <v>0</v>
      </c>
      <c r="AL658" s="59">
        <v>0</v>
      </c>
    </row>
    <row r="659" spans="2:38" s="47" customFormat="1" ht="12.75">
      <c r="B659" s="6" t="s">
        <v>392</v>
      </c>
      <c r="C659" s="58">
        <v>0</v>
      </c>
      <c r="D659" s="55">
        <v>0</v>
      </c>
      <c r="E659" s="59">
        <v>0</v>
      </c>
      <c r="F659" s="58">
        <v>0</v>
      </c>
      <c r="G659" s="55">
        <v>0</v>
      </c>
      <c r="H659" s="59">
        <v>0</v>
      </c>
      <c r="I659" s="58">
        <v>0</v>
      </c>
      <c r="J659" s="55">
        <v>0</v>
      </c>
      <c r="K659" s="59">
        <v>0</v>
      </c>
      <c r="L659" s="58">
        <v>0</v>
      </c>
      <c r="M659" s="55">
        <v>0</v>
      </c>
      <c r="N659" s="59">
        <v>0</v>
      </c>
      <c r="O659" s="58">
        <v>0</v>
      </c>
      <c r="P659" s="55">
        <v>0</v>
      </c>
      <c r="Q659" s="59">
        <v>0</v>
      </c>
      <c r="R659" s="58">
        <v>0</v>
      </c>
      <c r="S659" s="55">
        <v>0</v>
      </c>
      <c r="T659" s="59">
        <v>0</v>
      </c>
      <c r="U659" s="58">
        <v>1</v>
      </c>
      <c r="V659" s="55">
        <v>0</v>
      </c>
      <c r="W659" s="59">
        <v>0</v>
      </c>
      <c r="X659" s="58">
        <v>0</v>
      </c>
      <c r="Y659" s="55">
        <v>0</v>
      </c>
      <c r="Z659" s="59">
        <v>0</v>
      </c>
      <c r="AA659" s="58">
        <v>0</v>
      </c>
      <c r="AB659" s="55">
        <v>0</v>
      </c>
      <c r="AC659" s="59">
        <v>1</v>
      </c>
      <c r="AD659" s="58">
        <v>0</v>
      </c>
      <c r="AE659" s="55">
        <v>0</v>
      </c>
      <c r="AF659" s="59">
        <v>0</v>
      </c>
      <c r="AG659" s="58">
        <v>0</v>
      </c>
      <c r="AH659" s="55">
        <v>0</v>
      </c>
      <c r="AI659" s="59">
        <v>0</v>
      </c>
      <c r="AJ659" s="58">
        <v>0</v>
      </c>
      <c r="AK659" s="55">
        <v>0</v>
      </c>
      <c r="AL659" s="59">
        <v>0</v>
      </c>
    </row>
    <row r="660" spans="2:38" s="47" customFormat="1" ht="13.5" thickBot="1">
      <c r="B660" s="7" t="s">
        <v>393</v>
      </c>
      <c r="C660" s="81">
        <v>0</v>
      </c>
      <c r="D660" s="70">
        <v>0</v>
      </c>
      <c r="E660" s="82">
        <v>28</v>
      </c>
      <c r="F660" s="81">
        <v>1</v>
      </c>
      <c r="G660" s="89">
        <v>1</v>
      </c>
      <c r="H660" s="90">
        <v>23</v>
      </c>
      <c r="I660" s="81">
        <v>3</v>
      </c>
      <c r="J660" s="89">
        <v>3</v>
      </c>
      <c r="K660" s="90">
        <v>14</v>
      </c>
      <c r="L660" s="81">
        <v>0</v>
      </c>
      <c r="M660" s="89">
        <v>0</v>
      </c>
      <c r="N660" s="90">
        <v>0</v>
      </c>
      <c r="O660" s="81">
        <v>1</v>
      </c>
      <c r="P660" s="89">
        <v>0</v>
      </c>
      <c r="Q660" s="90">
        <v>0</v>
      </c>
      <c r="R660" s="81">
        <v>0</v>
      </c>
      <c r="S660" s="70">
        <v>0</v>
      </c>
      <c r="T660" s="82">
        <v>0</v>
      </c>
      <c r="U660" s="81">
        <v>0</v>
      </c>
      <c r="V660" s="89">
        <v>0</v>
      </c>
      <c r="W660" s="90">
        <v>0</v>
      </c>
      <c r="X660" s="81">
        <v>0</v>
      </c>
      <c r="Y660" s="89">
        <v>0</v>
      </c>
      <c r="Z660" s="90">
        <v>0</v>
      </c>
      <c r="AA660" s="81">
        <v>0</v>
      </c>
      <c r="AB660" s="89">
        <v>0</v>
      </c>
      <c r="AC660" s="90">
        <v>0</v>
      </c>
      <c r="AD660" s="81">
        <v>1</v>
      </c>
      <c r="AE660" s="89">
        <v>0</v>
      </c>
      <c r="AF660" s="90">
        <v>0</v>
      </c>
      <c r="AG660" s="81">
        <v>0</v>
      </c>
      <c r="AH660" s="89">
        <v>0</v>
      </c>
      <c r="AI660" s="90">
        <v>0</v>
      </c>
      <c r="AJ660" s="81">
        <v>1</v>
      </c>
      <c r="AK660" s="89">
        <v>0</v>
      </c>
      <c r="AL660" s="90">
        <v>0</v>
      </c>
    </row>
    <row r="661" spans="2:38" s="47" customFormat="1" ht="13.5" thickBot="1">
      <c r="B661" s="83" t="s">
        <v>0</v>
      </c>
      <c r="C661" s="44">
        <f aca="true" t="shared" si="43" ref="C661:AL661">SUM(C651:C660)</f>
        <v>8</v>
      </c>
      <c r="D661" s="51">
        <f t="shared" si="43"/>
        <v>0</v>
      </c>
      <c r="E661" s="52">
        <f t="shared" si="43"/>
        <v>367</v>
      </c>
      <c r="F661" s="109">
        <f t="shared" si="43"/>
        <v>10</v>
      </c>
      <c r="G661" s="51">
        <f t="shared" si="43"/>
        <v>4</v>
      </c>
      <c r="H661" s="93">
        <f t="shared" si="43"/>
        <v>300</v>
      </c>
      <c r="I661" s="245">
        <f t="shared" si="43"/>
        <v>9</v>
      </c>
      <c r="J661" s="51">
        <f t="shared" si="43"/>
        <v>4</v>
      </c>
      <c r="K661" s="93">
        <f t="shared" si="43"/>
        <v>205</v>
      </c>
      <c r="L661" s="245">
        <f t="shared" si="43"/>
        <v>9</v>
      </c>
      <c r="M661" s="51">
        <f t="shared" si="43"/>
        <v>0</v>
      </c>
      <c r="N661" s="93">
        <f t="shared" si="43"/>
        <v>32</v>
      </c>
      <c r="O661" s="245">
        <f t="shared" si="43"/>
        <v>4</v>
      </c>
      <c r="P661" s="51">
        <f t="shared" si="43"/>
        <v>0</v>
      </c>
      <c r="Q661" s="93">
        <f t="shared" si="43"/>
        <v>15</v>
      </c>
      <c r="R661" s="245">
        <f t="shared" si="43"/>
        <v>13</v>
      </c>
      <c r="S661" s="51">
        <f t="shared" si="43"/>
        <v>0</v>
      </c>
      <c r="T661" s="93">
        <f t="shared" si="43"/>
        <v>21</v>
      </c>
      <c r="U661" s="245">
        <f t="shared" si="43"/>
        <v>14</v>
      </c>
      <c r="V661" s="51">
        <f t="shared" si="43"/>
        <v>0</v>
      </c>
      <c r="W661" s="93">
        <f t="shared" si="43"/>
        <v>32</v>
      </c>
      <c r="X661" s="245">
        <f t="shared" si="43"/>
        <v>14</v>
      </c>
      <c r="Y661" s="51">
        <f t="shared" si="43"/>
        <v>0</v>
      </c>
      <c r="Z661" s="93">
        <f t="shared" si="43"/>
        <v>19</v>
      </c>
      <c r="AA661" s="245">
        <f t="shared" si="43"/>
        <v>10</v>
      </c>
      <c r="AB661" s="51">
        <f t="shared" si="43"/>
        <v>0</v>
      </c>
      <c r="AC661" s="93">
        <f t="shared" si="43"/>
        <v>14</v>
      </c>
      <c r="AD661" s="245">
        <f t="shared" si="43"/>
        <v>12</v>
      </c>
      <c r="AE661" s="51">
        <f t="shared" si="43"/>
        <v>0</v>
      </c>
      <c r="AF661" s="93">
        <f t="shared" si="43"/>
        <v>8</v>
      </c>
      <c r="AG661" s="245">
        <f t="shared" si="43"/>
        <v>6</v>
      </c>
      <c r="AH661" s="51">
        <f t="shared" si="43"/>
        <v>0</v>
      </c>
      <c r="AI661" s="93">
        <f t="shared" si="43"/>
        <v>8</v>
      </c>
      <c r="AJ661" s="245">
        <f t="shared" si="43"/>
        <v>20</v>
      </c>
      <c r="AK661" s="51">
        <f t="shared" si="43"/>
        <v>0</v>
      </c>
      <c r="AL661" s="93">
        <f t="shared" si="43"/>
        <v>7</v>
      </c>
    </row>
    <row r="662" s="47" customFormat="1" ht="12.75"/>
    <row r="663" spans="2:5" s="47" customFormat="1" ht="12.75">
      <c r="B663" s="369"/>
      <c r="C663" s="369"/>
      <c r="D663" s="369"/>
      <c r="E663" s="369"/>
    </row>
    <row r="664" s="47" customFormat="1" ht="12.75"/>
    <row r="665" s="47" customFormat="1" ht="12.75"/>
  </sheetData>
  <sheetProtection/>
  <mergeCells count="892"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E6"/>
    <mergeCell ref="B9:E9"/>
    <mergeCell ref="B11:E11"/>
    <mergeCell ref="B13:E13"/>
    <mergeCell ref="B15:B18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C16:C17"/>
    <mergeCell ref="D16:E17"/>
    <mergeCell ref="F16:F17"/>
    <mergeCell ref="G16:H17"/>
    <mergeCell ref="I16:I17"/>
    <mergeCell ref="J16:K17"/>
    <mergeCell ref="L16:L17"/>
    <mergeCell ref="M16:N17"/>
    <mergeCell ref="AD16:AD17"/>
    <mergeCell ref="AE16:AF17"/>
    <mergeCell ref="O16:O17"/>
    <mergeCell ref="P16:Q17"/>
    <mergeCell ref="R16:R17"/>
    <mergeCell ref="S16:T17"/>
    <mergeCell ref="U16:U17"/>
    <mergeCell ref="V16:W17"/>
    <mergeCell ref="AG16:AG17"/>
    <mergeCell ref="AH16:AI17"/>
    <mergeCell ref="AJ16:AJ17"/>
    <mergeCell ref="AK16:AL17"/>
    <mergeCell ref="B41:E41"/>
    <mergeCell ref="B43:E43"/>
    <mergeCell ref="X16:X17"/>
    <mergeCell ref="Y16:Z17"/>
    <mergeCell ref="AA16:AA17"/>
    <mergeCell ref="AB16:AC17"/>
    <mergeCell ref="B45:E45"/>
    <mergeCell ref="B47:E47"/>
    <mergeCell ref="B49:E49"/>
    <mergeCell ref="B51:B54"/>
    <mergeCell ref="C51:E51"/>
    <mergeCell ref="F51:H51"/>
    <mergeCell ref="I51:K51"/>
    <mergeCell ref="L51:N51"/>
    <mergeCell ref="O51:Q51"/>
    <mergeCell ref="R51:T51"/>
    <mergeCell ref="U51:W51"/>
    <mergeCell ref="X51:Z51"/>
    <mergeCell ref="AA51:AC51"/>
    <mergeCell ref="AD51:AF51"/>
    <mergeCell ref="AG51:AI51"/>
    <mergeCell ref="AJ51:AL51"/>
    <mergeCell ref="C52:C53"/>
    <mergeCell ref="D52:E53"/>
    <mergeCell ref="F52:F53"/>
    <mergeCell ref="G52:H53"/>
    <mergeCell ref="I52:I53"/>
    <mergeCell ref="J52:K53"/>
    <mergeCell ref="L52:L53"/>
    <mergeCell ref="M52:N53"/>
    <mergeCell ref="O52:O53"/>
    <mergeCell ref="P52:Q53"/>
    <mergeCell ref="R52:R53"/>
    <mergeCell ref="S52:T53"/>
    <mergeCell ref="U52:U53"/>
    <mergeCell ref="V52:W53"/>
    <mergeCell ref="X52:X53"/>
    <mergeCell ref="Y52:Z53"/>
    <mergeCell ref="AA52:AA53"/>
    <mergeCell ref="AB52:AC53"/>
    <mergeCell ref="AD52:AD53"/>
    <mergeCell ref="AE52:AF53"/>
    <mergeCell ref="AG52:AG53"/>
    <mergeCell ref="AH52:AI53"/>
    <mergeCell ref="AJ52:AJ53"/>
    <mergeCell ref="AK52:AL53"/>
    <mergeCell ref="B77:E77"/>
    <mergeCell ref="B80:E80"/>
    <mergeCell ref="B82:E82"/>
    <mergeCell ref="B84:E84"/>
    <mergeCell ref="B86:E86"/>
    <mergeCell ref="B88:B91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G88:AI88"/>
    <mergeCell ref="AJ88:AL88"/>
    <mergeCell ref="C89:C90"/>
    <mergeCell ref="D89:E90"/>
    <mergeCell ref="F89:F90"/>
    <mergeCell ref="G89:H90"/>
    <mergeCell ref="I89:I90"/>
    <mergeCell ref="J89:K90"/>
    <mergeCell ref="L89:L90"/>
    <mergeCell ref="M89:N90"/>
    <mergeCell ref="O89:O90"/>
    <mergeCell ref="P89:Q90"/>
    <mergeCell ref="R89:R90"/>
    <mergeCell ref="AH89:AI90"/>
    <mergeCell ref="AJ89:AJ90"/>
    <mergeCell ref="S89:T90"/>
    <mergeCell ref="U89:U90"/>
    <mergeCell ref="V89:W90"/>
    <mergeCell ref="X89:X90"/>
    <mergeCell ref="Y89:Z90"/>
    <mergeCell ref="AA89:AA90"/>
    <mergeCell ref="AK89:AL90"/>
    <mergeCell ref="B106:E106"/>
    <mergeCell ref="B108:E108"/>
    <mergeCell ref="B110:E110"/>
    <mergeCell ref="B112:E112"/>
    <mergeCell ref="B114:E114"/>
    <mergeCell ref="AB89:AC90"/>
    <mergeCell ref="AD89:AD90"/>
    <mergeCell ref="AE89:AF90"/>
    <mergeCell ref="AG89:AG90"/>
    <mergeCell ref="B116:B119"/>
    <mergeCell ref="C116:E116"/>
    <mergeCell ref="F116:H116"/>
    <mergeCell ref="I116:K116"/>
    <mergeCell ref="L116:N116"/>
    <mergeCell ref="O116:Q116"/>
    <mergeCell ref="P117:Q118"/>
    <mergeCell ref="R116:T116"/>
    <mergeCell ref="U116:W116"/>
    <mergeCell ref="X116:Z116"/>
    <mergeCell ref="AA116:AC116"/>
    <mergeCell ref="AD116:AF116"/>
    <mergeCell ref="AG116:AI116"/>
    <mergeCell ref="AJ116:AL116"/>
    <mergeCell ref="C117:C118"/>
    <mergeCell ref="D117:E118"/>
    <mergeCell ref="F117:F118"/>
    <mergeCell ref="G117:H118"/>
    <mergeCell ref="I117:I118"/>
    <mergeCell ref="J117:K118"/>
    <mergeCell ref="L117:L118"/>
    <mergeCell ref="M117:N118"/>
    <mergeCell ref="O117:O118"/>
    <mergeCell ref="AG117:AG118"/>
    <mergeCell ref="AH117:AI118"/>
    <mergeCell ref="R117:R118"/>
    <mergeCell ref="S117:T118"/>
    <mergeCell ref="U117:U118"/>
    <mergeCell ref="V117:W118"/>
    <mergeCell ref="X117:X118"/>
    <mergeCell ref="Y117:Z118"/>
    <mergeCell ref="AJ117:AJ118"/>
    <mergeCell ref="AK117:AL118"/>
    <mergeCell ref="B139:E139"/>
    <mergeCell ref="B141:E141"/>
    <mergeCell ref="B143:E143"/>
    <mergeCell ref="B145:E145"/>
    <mergeCell ref="AA117:AA118"/>
    <mergeCell ref="AB117:AC118"/>
    <mergeCell ref="AD117:AD118"/>
    <mergeCell ref="AE117:AF118"/>
    <mergeCell ref="B147:E147"/>
    <mergeCell ref="B149:B152"/>
    <mergeCell ref="C149:E149"/>
    <mergeCell ref="F149:H149"/>
    <mergeCell ref="I149:K149"/>
    <mergeCell ref="L149:N149"/>
    <mergeCell ref="O149:Q149"/>
    <mergeCell ref="R149:T149"/>
    <mergeCell ref="U149:W149"/>
    <mergeCell ref="X149:Z149"/>
    <mergeCell ref="AA149:AC149"/>
    <mergeCell ref="AD149:AF149"/>
    <mergeCell ref="AG149:AI149"/>
    <mergeCell ref="AJ149:AL149"/>
    <mergeCell ref="C150:C151"/>
    <mergeCell ref="D150:E151"/>
    <mergeCell ref="F150:F151"/>
    <mergeCell ref="G150:H151"/>
    <mergeCell ref="I150:I151"/>
    <mergeCell ref="J150:K151"/>
    <mergeCell ref="L150:L151"/>
    <mergeCell ref="M150:N151"/>
    <mergeCell ref="AD150:AD151"/>
    <mergeCell ref="AE150:AF151"/>
    <mergeCell ref="O150:O151"/>
    <mergeCell ref="P150:Q151"/>
    <mergeCell ref="R150:R151"/>
    <mergeCell ref="S150:T151"/>
    <mergeCell ref="U150:U151"/>
    <mergeCell ref="V150:W151"/>
    <mergeCell ref="AG150:AG151"/>
    <mergeCell ref="AH150:AI151"/>
    <mergeCell ref="AJ150:AJ151"/>
    <mergeCell ref="AK150:AL151"/>
    <mergeCell ref="B177:E177"/>
    <mergeCell ref="B179:E179"/>
    <mergeCell ref="X150:X151"/>
    <mergeCell ref="Y150:Z151"/>
    <mergeCell ref="AA150:AA151"/>
    <mergeCell ref="AB150:AC151"/>
    <mergeCell ref="B181:E181"/>
    <mergeCell ref="B183:E183"/>
    <mergeCell ref="B185:E185"/>
    <mergeCell ref="B187:B190"/>
    <mergeCell ref="C187:E187"/>
    <mergeCell ref="F187:H187"/>
    <mergeCell ref="I187:K187"/>
    <mergeCell ref="L187:N187"/>
    <mergeCell ref="O187:Q187"/>
    <mergeCell ref="R187:T187"/>
    <mergeCell ref="U187:W187"/>
    <mergeCell ref="X187:Z187"/>
    <mergeCell ref="AA187:AC187"/>
    <mergeCell ref="AD187:AF187"/>
    <mergeCell ref="AG187:AI187"/>
    <mergeCell ref="AJ187:AL187"/>
    <mergeCell ref="C188:C189"/>
    <mergeCell ref="D188:E189"/>
    <mergeCell ref="F188:F189"/>
    <mergeCell ref="G188:H189"/>
    <mergeCell ref="I188:I189"/>
    <mergeCell ref="J188:K189"/>
    <mergeCell ref="L188:L189"/>
    <mergeCell ref="M188:N189"/>
    <mergeCell ref="O188:O189"/>
    <mergeCell ref="P188:Q189"/>
    <mergeCell ref="R188:R189"/>
    <mergeCell ref="S188:T189"/>
    <mergeCell ref="U188:U189"/>
    <mergeCell ref="V188:W189"/>
    <mergeCell ref="X188:X189"/>
    <mergeCell ref="Y188:Z189"/>
    <mergeCell ref="AA188:AA189"/>
    <mergeCell ref="AB188:AC189"/>
    <mergeCell ref="AD188:AD189"/>
    <mergeCell ref="AE188:AF189"/>
    <mergeCell ref="AG188:AG189"/>
    <mergeCell ref="AH188:AI189"/>
    <mergeCell ref="AJ188:AJ189"/>
    <mergeCell ref="AK188:AL189"/>
    <mergeCell ref="B217:E217"/>
    <mergeCell ref="B219:E219"/>
    <mergeCell ref="B221:E221"/>
    <mergeCell ref="B223:E223"/>
    <mergeCell ref="B225:E225"/>
    <mergeCell ref="B227:B230"/>
    <mergeCell ref="C227:E227"/>
    <mergeCell ref="F227:H227"/>
    <mergeCell ref="I227:K227"/>
    <mergeCell ref="L227:N227"/>
    <mergeCell ref="O227:Q227"/>
    <mergeCell ref="R227:T227"/>
    <mergeCell ref="U227:W227"/>
    <mergeCell ref="X227:Z227"/>
    <mergeCell ref="AA227:AC227"/>
    <mergeCell ref="AD227:AF227"/>
    <mergeCell ref="AG227:AI227"/>
    <mergeCell ref="AJ227:AL227"/>
    <mergeCell ref="C228:C229"/>
    <mergeCell ref="D228:E229"/>
    <mergeCell ref="F228:F229"/>
    <mergeCell ref="G228:H229"/>
    <mergeCell ref="I228:I229"/>
    <mergeCell ref="J228:K229"/>
    <mergeCell ref="L228:L229"/>
    <mergeCell ref="M228:N229"/>
    <mergeCell ref="O228:O229"/>
    <mergeCell ref="P228:Q229"/>
    <mergeCell ref="R228:R229"/>
    <mergeCell ref="S228:T229"/>
    <mergeCell ref="U228:U229"/>
    <mergeCell ref="V228:W229"/>
    <mergeCell ref="X228:X229"/>
    <mergeCell ref="Y228:Z229"/>
    <mergeCell ref="AA228:AA229"/>
    <mergeCell ref="AB228:AC229"/>
    <mergeCell ref="AD228:AD229"/>
    <mergeCell ref="AE228:AF229"/>
    <mergeCell ref="AG228:AG229"/>
    <mergeCell ref="AH228:AI229"/>
    <mergeCell ref="AJ228:AJ229"/>
    <mergeCell ref="AK228:AL229"/>
    <mergeCell ref="B247:E247"/>
    <mergeCell ref="B249:E249"/>
    <mergeCell ref="B251:E251"/>
    <mergeCell ref="B253:E253"/>
    <mergeCell ref="B255:B258"/>
    <mergeCell ref="C255:E255"/>
    <mergeCell ref="F255:H255"/>
    <mergeCell ref="I255:K255"/>
    <mergeCell ref="L255:N255"/>
    <mergeCell ref="O255:Q255"/>
    <mergeCell ref="R255:T255"/>
    <mergeCell ref="U255:W255"/>
    <mergeCell ref="X255:Z255"/>
    <mergeCell ref="AA255:AC255"/>
    <mergeCell ref="AD255:AF255"/>
    <mergeCell ref="AG255:AI255"/>
    <mergeCell ref="AJ255:AL255"/>
    <mergeCell ref="C256:C257"/>
    <mergeCell ref="D256:E257"/>
    <mergeCell ref="F256:F257"/>
    <mergeCell ref="G256:H257"/>
    <mergeCell ref="I256:I257"/>
    <mergeCell ref="J256:K257"/>
    <mergeCell ref="L256:L257"/>
    <mergeCell ref="M256:N257"/>
    <mergeCell ref="AD256:AD257"/>
    <mergeCell ref="AE256:AF257"/>
    <mergeCell ref="O256:O257"/>
    <mergeCell ref="P256:Q257"/>
    <mergeCell ref="R256:R257"/>
    <mergeCell ref="S256:T257"/>
    <mergeCell ref="U256:U257"/>
    <mergeCell ref="V256:W257"/>
    <mergeCell ref="AG256:AG257"/>
    <mergeCell ref="AH256:AI257"/>
    <mergeCell ref="AJ256:AJ257"/>
    <mergeCell ref="AK256:AL257"/>
    <mergeCell ref="B273:E273"/>
    <mergeCell ref="B275:E275"/>
    <mergeCell ref="X256:X257"/>
    <mergeCell ref="Y256:Z257"/>
    <mergeCell ref="AA256:AA257"/>
    <mergeCell ref="AB256:AC257"/>
    <mergeCell ref="B277:E277"/>
    <mergeCell ref="B279:E279"/>
    <mergeCell ref="B281:E281"/>
    <mergeCell ref="B283:B286"/>
    <mergeCell ref="C283:E283"/>
    <mergeCell ref="F283:H283"/>
    <mergeCell ref="I283:K283"/>
    <mergeCell ref="L283:N283"/>
    <mergeCell ref="O283:Q283"/>
    <mergeCell ref="R283:T283"/>
    <mergeCell ref="U283:W283"/>
    <mergeCell ref="X283:Z283"/>
    <mergeCell ref="AA283:AC283"/>
    <mergeCell ref="AD283:AF283"/>
    <mergeCell ref="AG283:AI283"/>
    <mergeCell ref="AJ283:AL283"/>
    <mergeCell ref="C284:C285"/>
    <mergeCell ref="D284:E285"/>
    <mergeCell ref="F284:F285"/>
    <mergeCell ref="G284:H285"/>
    <mergeCell ref="I284:I285"/>
    <mergeCell ref="J284:K285"/>
    <mergeCell ref="L284:L285"/>
    <mergeCell ref="M284:N285"/>
    <mergeCell ref="O284:O285"/>
    <mergeCell ref="P284:Q285"/>
    <mergeCell ref="R284:R285"/>
    <mergeCell ref="S284:T285"/>
    <mergeCell ref="U284:U285"/>
    <mergeCell ref="V284:W285"/>
    <mergeCell ref="X284:X285"/>
    <mergeCell ref="Y284:Z285"/>
    <mergeCell ref="AA284:AA285"/>
    <mergeCell ref="AB284:AC285"/>
    <mergeCell ref="AD284:AD285"/>
    <mergeCell ref="AE284:AF285"/>
    <mergeCell ref="AG284:AG285"/>
    <mergeCell ref="AH284:AI285"/>
    <mergeCell ref="AJ284:AJ285"/>
    <mergeCell ref="AK284:AL285"/>
    <mergeCell ref="B300:E300"/>
    <mergeCell ref="B302:E302"/>
    <mergeCell ref="B304:E304"/>
    <mergeCell ref="B306:E306"/>
    <mergeCell ref="B308:E308"/>
    <mergeCell ref="B310:B313"/>
    <mergeCell ref="C310:E310"/>
    <mergeCell ref="F310:H310"/>
    <mergeCell ref="I310:K310"/>
    <mergeCell ref="L310:N310"/>
    <mergeCell ref="O310:Q310"/>
    <mergeCell ref="R310:T310"/>
    <mergeCell ref="U310:W310"/>
    <mergeCell ref="X310:Z310"/>
    <mergeCell ref="AA310:AC310"/>
    <mergeCell ref="AD310:AF310"/>
    <mergeCell ref="AG310:AI310"/>
    <mergeCell ref="AJ310:AL310"/>
    <mergeCell ref="C311:C312"/>
    <mergeCell ref="D311:E312"/>
    <mergeCell ref="F311:F312"/>
    <mergeCell ref="G311:H312"/>
    <mergeCell ref="I311:I312"/>
    <mergeCell ref="J311:K312"/>
    <mergeCell ref="L311:L312"/>
    <mergeCell ref="M311:N312"/>
    <mergeCell ref="O311:O312"/>
    <mergeCell ref="P311:Q312"/>
    <mergeCell ref="R311:R312"/>
    <mergeCell ref="AH311:AI312"/>
    <mergeCell ref="AJ311:AJ312"/>
    <mergeCell ref="S311:T312"/>
    <mergeCell ref="U311:U312"/>
    <mergeCell ref="V311:W312"/>
    <mergeCell ref="X311:X312"/>
    <mergeCell ref="Y311:Z312"/>
    <mergeCell ref="AA311:AA312"/>
    <mergeCell ref="AK311:AL312"/>
    <mergeCell ref="B335:E335"/>
    <mergeCell ref="B337:E337"/>
    <mergeCell ref="B339:E339"/>
    <mergeCell ref="B341:E341"/>
    <mergeCell ref="B343:E343"/>
    <mergeCell ref="AB311:AC312"/>
    <mergeCell ref="AD311:AD312"/>
    <mergeCell ref="AE311:AF312"/>
    <mergeCell ref="AG311:AG312"/>
    <mergeCell ref="B345:B348"/>
    <mergeCell ref="C345:E345"/>
    <mergeCell ref="F345:H345"/>
    <mergeCell ref="I345:K345"/>
    <mergeCell ref="L345:N345"/>
    <mergeCell ref="O345:Q345"/>
    <mergeCell ref="P346:Q347"/>
    <mergeCell ref="R345:T345"/>
    <mergeCell ref="U345:W345"/>
    <mergeCell ref="X345:Z345"/>
    <mergeCell ref="AA345:AC345"/>
    <mergeCell ref="AD345:AF345"/>
    <mergeCell ref="AG345:AI345"/>
    <mergeCell ref="AJ345:AL345"/>
    <mergeCell ref="C346:C347"/>
    <mergeCell ref="D346:E347"/>
    <mergeCell ref="F346:F347"/>
    <mergeCell ref="G346:H347"/>
    <mergeCell ref="I346:I347"/>
    <mergeCell ref="J346:K347"/>
    <mergeCell ref="L346:L347"/>
    <mergeCell ref="M346:N347"/>
    <mergeCell ref="O346:O347"/>
    <mergeCell ref="AG346:AG347"/>
    <mergeCell ref="AH346:AI347"/>
    <mergeCell ref="R346:R347"/>
    <mergeCell ref="S346:T347"/>
    <mergeCell ref="U346:U347"/>
    <mergeCell ref="V346:W347"/>
    <mergeCell ref="X346:X347"/>
    <mergeCell ref="Y346:Z347"/>
    <mergeCell ref="AJ346:AJ347"/>
    <mergeCell ref="AK346:AL347"/>
    <mergeCell ref="B359:E359"/>
    <mergeCell ref="B361:E361"/>
    <mergeCell ref="B363:E363"/>
    <mergeCell ref="B365:E365"/>
    <mergeCell ref="AA346:AA347"/>
    <mergeCell ref="AB346:AC347"/>
    <mergeCell ref="AD346:AD347"/>
    <mergeCell ref="AE346:AF347"/>
    <mergeCell ref="B367:E367"/>
    <mergeCell ref="B369:B372"/>
    <mergeCell ref="C369:E369"/>
    <mergeCell ref="F369:H369"/>
    <mergeCell ref="I369:K369"/>
    <mergeCell ref="L369:N369"/>
    <mergeCell ref="O369:Q369"/>
    <mergeCell ref="R369:T369"/>
    <mergeCell ref="U369:W369"/>
    <mergeCell ref="X369:Z369"/>
    <mergeCell ref="AA369:AC369"/>
    <mergeCell ref="AD369:AF369"/>
    <mergeCell ref="AG369:AI369"/>
    <mergeCell ref="AJ369:AL369"/>
    <mergeCell ref="C370:C371"/>
    <mergeCell ref="D370:E371"/>
    <mergeCell ref="F370:F371"/>
    <mergeCell ref="G370:H371"/>
    <mergeCell ref="I370:I371"/>
    <mergeCell ref="J370:K371"/>
    <mergeCell ref="L370:L371"/>
    <mergeCell ref="M370:N371"/>
    <mergeCell ref="AD370:AD371"/>
    <mergeCell ref="AE370:AF371"/>
    <mergeCell ref="O370:O371"/>
    <mergeCell ref="P370:Q371"/>
    <mergeCell ref="R370:R371"/>
    <mergeCell ref="S370:T371"/>
    <mergeCell ref="U370:U371"/>
    <mergeCell ref="V370:W371"/>
    <mergeCell ref="AG370:AG371"/>
    <mergeCell ref="AH370:AI371"/>
    <mergeCell ref="AJ370:AJ371"/>
    <mergeCell ref="AK370:AL371"/>
    <mergeCell ref="B391:E391"/>
    <mergeCell ref="B393:E393"/>
    <mergeCell ref="X370:X371"/>
    <mergeCell ref="Y370:Z371"/>
    <mergeCell ref="AA370:AA371"/>
    <mergeCell ref="AB370:AC371"/>
    <mergeCell ref="B395:E395"/>
    <mergeCell ref="B397:E397"/>
    <mergeCell ref="B399:E399"/>
    <mergeCell ref="B401:B404"/>
    <mergeCell ref="C401:E401"/>
    <mergeCell ref="F401:H401"/>
    <mergeCell ref="I401:K401"/>
    <mergeCell ref="L401:N401"/>
    <mergeCell ref="O401:Q401"/>
    <mergeCell ref="R401:T401"/>
    <mergeCell ref="U401:W401"/>
    <mergeCell ref="X401:Z401"/>
    <mergeCell ref="AA401:AC401"/>
    <mergeCell ref="AD401:AF401"/>
    <mergeCell ref="AG401:AI401"/>
    <mergeCell ref="AJ401:AL401"/>
    <mergeCell ref="C402:C403"/>
    <mergeCell ref="D402:E403"/>
    <mergeCell ref="F402:F403"/>
    <mergeCell ref="G402:H403"/>
    <mergeCell ref="I402:I403"/>
    <mergeCell ref="J402:K403"/>
    <mergeCell ref="L402:L403"/>
    <mergeCell ref="M402:N403"/>
    <mergeCell ref="O402:O403"/>
    <mergeCell ref="P402:Q403"/>
    <mergeCell ref="R402:R403"/>
    <mergeCell ref="S402:T403"/>
    <mergeCell ref="U402:U403"/>
    <mergeCell ref="V402:W403"/>
    <mergeCell ref="X402:X403"/>
    <mergeCell ref="Y402:Z403"/>
    <mergeCell ref="AA402:AA403"/>
    <mergeCell ref="AB402:AC403"/>
    <mergeCell ref="AD402:AD403"/>
    <mergeCell ref="AE402:AF403"/>
    <mergeCell ref="AG402:AG403"/>
    <mergeCell ref="AH402:AI403"/>
    <mergeCell ref="AJ402:AJ403"/>
    <mergeCell ref="AK402:AL403"/>
    <mergeCell ref="B417:E417"/>
    <mergeCell ref="B419:E419"/>
    <mergeCell ref="B421:E421"/>
    <mergeCell ref="B423:E423"/>
    <mergeCell ref="B425:E425"/>
    <mergeCell ref="B427:B430"/>
    <mergeCell ref="C427:E427"/>
    <mergeCell ref="F427:H427"/>
    <mergeCell ref="I427:K427"/>
    <mergeCell ref="L427:N427"/>
    <mergeCell ref="O427:Q427"/>
    <mergeCell ref="R427:T427"/>
    <mergeCell ref="U427:W427"/>
    <mergeCell ref="X427:Z427"/>
    <mergeCell ref="AA427:AC427"/>
    <mergeCell ref="AD427:AF427"/>
    <mergeCell ref="AG427:AI427"/>
    <mergeCell ref="AJ427:AL427"/>
    <mergeCell ref="C428:C429"/>
    <mergeCell ref="D428:E429"/>
    <mergeCell ref="F428:F429"/>
    <mergeCell ref="G428:H429"/>
    <mergeCell ref="I428:I429"/>
    <mergeCell ref="J428:K429"/>
    <mergeCell ref="L428:L429"/>
    <mergeCell ref="M428:N429"/>
    <mergeCell ref="O428:O429"/>
    <mergeCell ref="P428:Q429"/>
    <mergeCell ref="R428:R429"/>
    <mergeCell ref="AH428:AI429"/>
    <mergeCell ref="AJ428:AJ429"/>
    <mergeCell ref="S428:T429"/>
    <mergeCell ref="U428:U429"/>
    <mergeCell ref="V428:W429"/>
    <mergeCell ref="X428:X429"/>
    <mergeCell ref="Y428:Z429"/>
    <mergeCell ref="AA428:AA429"/>
    <mergeCell ref="AK428:AL429"/>
    <mergeCell ref="B439:E439"/>
    <mergeCell ref="B441:E441"/>
    <mergeCell ref="B443:E443"/>
    <mergeCell ref="B445:E445"/>
    <mergeCell ref="B447:E447"/>
    <mergeCell ref="AB428:AC429"/>
    <mergeCell ref="AD428:AD429"/>
    <mergeCell ref="AE428:AF429"/>
    <mergeCell ref="AG428:AG429"/>
    <mergeCell ref="B449:B452"/>
    <mergeCell ref="C449:E449"/>
    <mergeCell ref="F449:H449"/>
    <mergeCell ref="I449:K449"/>
    <mergeCell ref="L449:N449"/>
    <mergeCell ref="O449:Q449"/>
    <mergeCell ref="P450:Q451"/>
    <mergeCell ref="R449:T449"/>
    <mergeCell ref="U449:W449"/>
    <mergeCell ref="X449:Z449"/>
    <mergeCell ref="AA449:AC449"/>
    <mergeCell ref="AD449:AF449"/>
    <mergeCell ref="AG449:AI449"/>
    <mergeCell ref="AJ449:AL449"/>
    <mergeCell ref="C450:C451"/>
    <mergeCell ref="D450:E451"/>
    <mergeCell ref="F450:F451"/>
    <mergeCell ref="G450:H451"/>
    <mergeCell ref="I450:I451"/>
    <mergeCell ref="J450:K451"/>
    <mergeCell ref="L450:L451"/>
    <mergeCell ref="M450:N451"/>
    <mergeCell ref="O450:O451"/>
    <mergeCell ref="AG450:AG451"/>
    <mergeCell ref="AH450:AI451"/>
    <mergeCell ref="R450:R451"/>
    <mergeCell ref="S450:T451"/>
    <mergeCell ref="U450:U451"/>
    <mergeCell ref="V450:W451"/>
    <mergeCell ref="X450:X451"/>
    <mergeCell ref="Y450:Z451"/>
    <mergeCell ref="AJ450:AJ451"/>
    <mergeCell ref="AK450:AL451"/>
    <mergeCell ref="B489:E489"/>
    <mergeCell ref="B490:E490"/>
    <mergeCell ref="B492:E492"/>
    <mergeCell ref="B494:E494"/>
    <mergeCell ref="AA450:AA451"/>
    <mergeCell ref="AB450:AC451"/>
    <mergeCell ref="AD450:AD451"/>
    <mergeCell ref="AE450:AF451"/>
    <mergeCell ref="B496:E496"/>
    <mergeCell ref="B498:E498"/>
    <mergeCell ref="B500:B503"/>
    <mergeCell ref="C500:E500"/>
    <mergeCell ref="F500:H500"/>
    <mergeCell ref="I500:K500"/>
    <mergeCell ref="L500:N500"/>
    <mergeCell ref="O500:Q500"/>
    <mergeCell ref="R500:T500"/>
    <mergeCell ref="U500:W500"/>
    <mergeCell ref="X500:Z500"/>
    <mergeCell ref="AA500:AC500"/>
    <mergeCell ref="AD500:AF500"/>
    <mergeCell ref="AG500:AI500"/>
    <mergeCell ref="AJ500:AL500"/>
    <mergeCell ref="C501:C502"/>
    <mergeCell ref="D501:E502"/>
    <mergeCell ref="F501:F502"/>
    <mergeCell ref="G501:H502"/>
    <mergeCell ref="I501:I502"/>
    <mergeCell ref="J501:K502"/>
    <mergeCell ref="L501:L502"/>
    <mergeCell ref="AB501:AC502"/>
    <mergeCell ref="AD501:AD502"/>
    <mergeCell ref="M501:N502"/>
    <mergeCell ref="O501:O502"/>
    <mergeCell ref="P501:Q502"/>
    <mergeCell ref="R501:R502"/>
    <mergeCell ref="S501:T502"/>
    <mergeCell ref="U501:U502"/>
    <mergeCell ref="AE501:AF502"/>
    <mergeCell ref="AG501:AG502"/>
    <mergeCell ref="AH501:AI502"/>
    <mergeCell ref="AJ501:AJ502"/>
    <mergeCell ref="AK501:AL502"/>
    <mergeCell ref="B519:E519"/>
    <mergeCell ref="V501:W502"/>
    <mergeCell ref="X501:X502"/>
    <mergeCell ref="Y501:Z502"/>
    <mergeCell ref="AA501:AA502"/>
    <mergeCell ref="B521:E521"/>
    <mergeCell ref="B523:E523"/>
    <mergeCell ref="B525:E525"/>
    <mergeCell ref="B527:E527"/>
    <mergeCell ref="B529:B532"/>
    <mergeCell ref="C529:E529"/>
    <mergeCell ref="F529:H529"/>
    <mergeCell ref="I529:K529"/>
    <mergeCell ref="L529:N529"/>
    <mergeCell ref="O529:Q529"/>
    <mergeCell ref="R529:T529"/>
    <mergeCell ref="U529:W529"/>
    <mergeCell ref="X529:Z529"/>
    <mergeCell ref="AA529:AC529"/>
    <mergeCell ref="AD529:AF529"/>
    <mergeCell ref="AG529:AI529"/>
    <mergeCell ref="AJ529:AL529"/>
    <mergeCell ref="C530:C531"/>
    <mergeCell ref="D530:E531"/>
    <mergeCell ref="F530:F531"/>
    <mergeCell ref="G530:H531"/>
    <mergeCell ref="I530:I531"/>
    <mergeCell ref="J530:K531"/>
    <mergeCell ref="L530:L531"/>
    <mergeCell ref="M530:N531"/>
    <mergeCell ref="O530:O531"/>
    <mergeCell ref="P530:Q531"/>
    <mergeCell ref="R530:R531"/>
    <mergeCell ref="AH530:AI531"/>
    <mergeCell ref="AJ530:AJ531"/>
    <mergeCell ref="S530:T531"/>
    <mergeCell ref="U530:U531"/>
    <mergeCell ref="V530:W531"/>
    <mergeCell ref="X530:X531"/>
    <mergeCell ref="Y530:Z531"/>
    <mergeCell ref="AA530:AA531"/>
    <mergeCell ref="AK530:AL531"/>
    <mergeCell ref="B557:E557"/>
    <mergeCell ref="B559:E559"/>
    <mergeCell ref="B561:E561"/>
    <mergeCell ref="B563:E563"/>
    <mergeCell ref="B565:E565"/>
    <mergeCell ref="AB530:AC531"/>
    <mergeCell ref="AD530:AD531"/>
    <mergeCell ref="AE530:AF531"/>
    <mergeCell ref="AG530:AG531"/>
    <mergeCell ref="B567:B570"/>
    <mergeCell ref="C567:E567"/>
    <mergeCell ref="F567:H567"/>
    <mergeCell ref="I567:K567"/>
    <mergeCell ref="L567:N567"/>
    <mergeCell ref="O567:Q567"/>
    <mergeCell ref="P568:Q569"/>
    <mergeCell ref="R567:T567"/>
    <mergeCell ref="U567:W567"/>
    <mergeCell ref="X567:Z567"/>
    <mergeCell ref="AA567:AC567"/>
    <mergeCell ref="AD567:AF567"/>
    <mergeCell ref="AG567:AI567"/>
    <mergeCell ref="AJ567:AL567"/>
    <mergeCell ref="C568:C569"/>
    <mergeCell ref="D568:E569"/>
    <mergeCell ref="F568:F569"/>
    <mergeCell ref="G568:H569"/>
    <mergeCell ref="I568:I569"/>
    <mergeCell ref="J568:K569"/>
    <mergeCell ref="L568:L569"/>
    <mergeCell ref="M568:N569"/>
    <mergeCell ref="O568:O569"/>
    <mergeCell ref="AG568:AG569"/>
    <mergeCell ref="AH568:AI569"/>
    <mergeCell ref="R568:R569"/>
    <mergeCell ref="S568:T569"/>
    <mergeCell ref="U568:U569"/>
    <mergeCell ref="V568:W569"/>
    <mergeCell ref="X568:X569"/>
    <mergeCell ref="Y568:Z569"/>
    <mergeCell ref="AJ568:AJ569"/>
    <mergeCell ref="AK568:AL569"/>
    <mergeCell ref="B582:E582"/>
    <mergeCell ref="B584:E584"/>
    <mergeCell ref="B586:E586"/>
    <mergeCell ref="B588:E588"/>
    <mergeCell ref="AA568:AA569"/>
    <mergeCell ref="AB568:AC569"/>
    <mergeCell ref="AD568:AD569"/>
    <mergeCell ref="AE568:AF569"/>
    <mergeCell ref="B590:E590"/>
    <mergeCell ref="B592:B595"/>
    <mergeCell ref="C592:E592"/>
    <mergeCell ref="F592:H592"/>
    <mergeCell ref="I592:K592"/>
    <mergeCell ref="L592:N592"/>
    <mergeCell ref="O592:Q592"/>
    <mergeCell ref="R592:T592"/>
    <mergeCell ref="U592:W592"/>
    <mergeCell ref="X592:Z592"/>
    <mergeCell ref="AA592:AC592"/>
    <mergeCell ref="AD592:AF592"/>
    <mergeCell ref="AG592:AI592"/>
    <mergeCell ref="AJ592:AL592"/>
    <mergeCell ref="C593:C594"/>
    <mergeCell ref="D593:E594"/>
    <mergeCell ref="F593:F594"/>
    <mergeCell ref="G593:H594"/>
    <mergeCell ref="I593:I594"/>
    <mergeCell ref="J593:K594"/>
    <mergeCell ref="L593:L594"/>
    <mergeCell ref="M593:N594"/>
    <mergeCell ref="AD593:AD594"/>
    <mergeCell ref="AE593:AF594"/>
    <mergeCell ref="O593:O594"/>
    <mergeCell ref="P593:Q594"/>
    <mergeCell ref="R593:R594"/>
    <mergeCell ref="S593:T594"/>
    <mergeCell ref="U593:U594"/>
    <mergeCell ref="V593:W594"/>
    <mergeCell ref="AG593:AG594"/>
    <mergeCell ref="AH593:AI594"/>
    <mergeCell ref="AJ593:AJ594"/>
    <mergeCell ref="AK593:AL594"/>
    <mergeCell ref="B608:E608"/>
    <mergeCell ref="B610:E610"/>
    <mergeCell ref="X593:X594"/>
    <mergeCell ref="Y593:Z594"/>
    <mergeCell ref="AA593:AA594"/>
    <mergeCell ref="AB593:AC594"/>
    <mergeCell ref="B612:E612"/>
    <mergeCell ref="B614:E614"/>
    <mergeCell ref="B616:E616"/>
    <mergeCell ref="B617:E617"/>
    <mergeCell ref="B618:B621"/>
    <mergeCell ref="C618:E618"/>
    <mergeCell ref="F618:H618"/>
    <mergeCell ref="I618:K618"/>
    <mergeCell ref="L618:N618"/>
    <mergeCell ref="O618:Q618"/>
    <mergeCell ref="R618:T618"/>
    <mergeCell ref="U618:W618"/>
    <mergeCell ref="X618:Z618"/>
    <mergeCell ref="AA618:AC618"/>
    <mergeCell ref="AD618:AF618"/>
    <mergeCell ref="AG618:AI618"/>
    <mergeCell ref="AJ618:AL618"/>
    <mergeCell ref="C619:C620"/>
    <mergeCell ref="D619:E620"/>
    <mergeCell ref="F619:F620"/>
    <mergeCell ref="G619:H620"/>
    <mergeCell ref="I619:I620"/>
    <mergeCell ref="J619:K620"/>
    <mergeCell ref="L619:L620"/>
    <mergeCell ref="M619:N620"/>
    <mergeCell ref="O619:O620"/>
    <mergeCell ref="P619:Q620"/>
    <mergeCell ref="R619:R620"/>
    <mergeCell ref="AH619:AI620"/>
    <mergeCell ref="AJ619:AJ620"/>
    <mergeCell ref="S619:T620"/>
    <mergeCell ref="U619:U620"/>
    <mergeCell ref="V619:W620"/>
    <mergeCell ref="X619:X620"/>
    <mergeCell ref="Y619:Z620"/>
    <mergeCell ref="AA619:AA620"/>
    <mergeCell ref="AK619:AL620"/>
    <mergeCell ref="B637:E637"/>
    <mergeCell ref="B639:E639"/>
    <mergeCell ref="B641:E641"/>
    <mergeCell ref="B643:E643"/>
    <mergeCell ref="B645:E645"/>
    <mergeCell ref="AB619:AC620"/>
    <mergeCell ref="AD619:AD620"/>
    <mergeCell ref="AE619:AF620"/>
    <mergeCell ref="AG619:AG620"/>
    <mergeCell ref="B647:B650"/>
    <mergeCell ref="C647:E647"/>
    <mergeCell ref="F647:H647"/>
    <mergeCell ref="I647:K647"/>
    <mergeCell ref="L647:N647"/>
    <mergeCell ref="O647:Q647"/>
    <mergeCell ref="P648:Q649"/>
    <mergeCell ref="L648:L649"/>
    <mergeCell ref="M648:N649"/>
    <mergeCell ref="O648:O649"/>
    <mergeCell ref="R647:T647"/>
    <mergeCell ref="U647:W647"/>
    <mergeCell ref="X647:Z647"/>
    <mergeCell ref="C648:C649"/>
    <mergeCell ref="D648:E649"/>
    <mergeCell ref="F648:F649"/>
    <mergeCell ref="G648:H649"/>
    <mergeCell ref="I648:I649"/>
    <mergeCell ref="J648:K649"/>
    <mergeCell ref="S648:T649"/>
    <mergeCell ref="AJ647:AL647"/>
    <mergeCell ref="AA647:AC647"/>
    <mergeCell ref="AD647:AF647"/>
    <mergeCell ref="AG647:AI647"/>
    <mergeCell ref="AJ648:AJ649"/>
    <mergeCell ref="AK648:AL649"/>
    <mergeCell ref="AH648:AI649"/>
    <mergeCell ref="AG648:AG649"/>
    <mergeCell ref="R648:R649"/>
    <mergeCell ref="B663:E663"/>
    <mergeCell ref="AA648:AA649"/>
    <mergeCell ref="AB648:AC649"/>
    <mergeCell ref="AD648:AD649"/>
    <mergeCell ref="AE648:AF649"/>
    <mergeCell ref="U648:U649"/>
    <mergeCell ref="V648:W649"/>
    <mergeCell ref="X648:X649"/>
    <mergeCell ref="Y648:Z649"/>
  </mergeCells>
  <hyperlinks>
    <hyperlink ref="B2:C2" location="'XR megyénként (2016)'!B43" display="BÁCS - KISKUN MEGYE"/>
    <hyperlink ref="B3:C3" location="'XR megyénként (2016)'!B80" display="BARANYA MEGYE"/>
    <hyperlink ref="B4:C4" location="'XR megyénként (2016)'!B108" display="BÉKÉS MEGYE"/>
    <hyperlink ref="B5:C5" location="'XR megyénként (2016)'!B141" display="BORSOD - ABAÚJ- ZEMPLÉN MEGYE"/>
    <hyperlink ref="B6:C6" location="'XR megyénként (2016)'!B179" display="BUDAPEST FŐVÁROS"/>
    <hyperlink ref="D2:E2" location="'XR megyénként (2016)'!B219" display="CSONGRÁD MEGYE"/>
    <hyperlink ref="D3:E3" location="'XR megyénként (2016)'!B247" display="FEJÉR MEGYE"/>
    <hyperlink ref="D4:E4" location="'XR megyénként (2016)'!B275" display="GYŐR-MOSON-SOPRON MEGYE"/>
    <hyperlink ref="D5:E5" location="'XR megyénként (2016)'!B302" display="HAJDU-BIHAR MEGYE"/>
    <hyperlink ref="D6:E6" location="'XR megyénként (2016)'!B337" display="HEVES MEGYE"/>
    <hyperlink ref="G2" location="'XR megyénként (2016)'!B361" display="JÁSZ-NAGYKUN- SZOLNOK MEGYE"/>
    <hyperlink ref="G3" location="'XR megyénként (2016)'!B393" display="KOMÁROM-ESZTERGOM MEGYE"/>
    <hyperlink ref="G4" location="'XR megyénként (2016)'!B419" display="NÓGRÁD MEGYE"/>
    <hyperlink ref="G5" location="'XR megyénként (2016)'!B441" display="PEST MEGYE"/>
    <hyperlink ref="G6" location="'XR megyénként (2016)'!B492" display="SOMOGY MEGYE"/>
    <hyperlink ref="J2" location="'XR megyénként (2016)'!B521" display="SZABOLCS -SZATMÁR- BEREG MEGYE"/>
    <hyperlink ref="J3" location="'XR megyénként (2016)'!B559" display="TOLNA MEGYE "/>
    <hyperlink ref="J4" location="'XR megyénként (2016)'!B584" display="VAS MEGYE"/>
    <hyperlink ref="J5" location="'XR megyénként (2016)'!B610" display="VESZPRÉM MEGYE"/>
    <hyperlink ref="J6" location="'XR megyénként (2016)'!B639" display="ZALA MEGYE"/>
  </hyperlinks>
  <printOptions/>
  <pageMargins left="0.75" right="0.75" top="1" bottom="1" header="0.5" footer="0.5"/>
  <pageSetup fitToHeight="0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Adatfeldolgozó és Választási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Közigazgatási és Elektronikus Közszolg. Közp. Hiv.</dc:creator>
  <cp:keywords/>
  <dc:description/>
  <cp:lastModifiedBy>BM-IHÁT</cp:lastModifiedBy>
  <cp:lastPrinted>2016-11-18T11:41:45Z</cp:lastPrinted>
  <dcterms:created xsi:type="dcterms:W3CDTF">2008-07-02T11:42:45Z</dcterms:created>
  <dcterms:modified xsi:type="dcterms:W3CDTF">2017-04-07T11:56:19Z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